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\Desktop\MBTA OFFICE\Vehicles\2020 Paratransit RFP\Docs for CalACT Assignments\"/>
    </mc:Choice>
  </mc:AlternateContent>
  <xr:revisionPtr revIDLastSave="0" documentId="8_{73B36EA0-85A8-4871-9761-ED81EAAA8FCF}" xr6:coauthVersionLast="47" xr6:coauthVersionMax="47" xr10:uidLastSave="{00000000-0000-0000-0000-000000000000}"/>
  <bookViews>
    <workbookView xWindow="-108" yWindow="-108" windowWidth="23256" windowHeight="12456" firstSheet="10" activeTab="14" xr2:uid="{57964CFF-9746-49C8-A515-C7A39B88AC4D}"/>
  </bookViews>
  <sheets>
    <sheet name="YR 1 PPI Calc" sheetId="15" r:id="rId1"/>
    <sheet name="YR 1 ZEB PPI Calc" sheetId="16" r:id="rId2"/>
    <sheet name="Delivery Zones" sheetId="11" r:id="rId3"/>
    <sheet name="Dealer Contacts" sheetId="10" state="hidden" r:id="rId4"/>
    <sheet name="A-B-C AZ Bus &amp; Davey Coach" sheetId="1" r:id="rId5"/>
    <sheet name="A-B-C Creative Bus" sheetId="2" r:id="rId6"/>
    <sheet name="D LF Minivan" sheetId="3" r:id="rId7"/>
    <sheet name="E Large Cutaways" sheetId="4" r:id="rId8"/>
    <sheet name="G Low Floor Cutaways" sheetId="5" r:id="rId9"/>
    <sheet name="M Med Duty Transit " sheetId="6" r:id="rId10"/>
    <sheet name="P ProMaster LF" sheetId="7" r:id="rId11"/>
    <sheet name="V Transit AZ-CBS" sheetId="8" r:id="rId12"/>
    <sheet name="V Transit Davey-MSV-RO" sheetId="9" r:id="rId13"/>
    <sheet name="Z-1 ZEB VAN" sheetId="13" r:id="rId14"/>
    <sheet name="Z-2 ZEB Cutaway" sheetId="12" r:id="rId15"/>
    <sheet name="Sheet1" sheetId="14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7" l="1"/>
  <c r="M66" i="7"/>
  <c r="H129" i="12"/>
  <c r="H128" i="12"/>
  <c r="H127" i="12"/>
  <c r="H126" i="12"/>
  <c r="H125" i="12"/>
  <c r="H124" i="12"/>
  <c r="H123" i="12"/>
  <c r="H116" i="12"/>
  <c r="H115" i="12"/>
  <c r="H114" i="12"/>
  <c r="H113" i="12"/>
  <c r="H112" i="12"/>
  <c r="H111" i="12"/>
  <c r="H110" i="12"/>
  <c r="H109" i="12"/>
  <c r="H108" i="12"/>
  <c r="H107" i="12"/>
  <c r="H104" i="12"/>
  <c r="H103" i="12"/>
  <c r="H102" i="12"/>
  <c r="H101" i="12"/>
  <c r="H100" i="12"/>
  <c r="H99" i="12"/>
  <c r="H98" i="12"/>
  <c r="H97" i="12"/>
  <c r="H96" i="12"/>
  <c r="H95" i="12"/>
  <c r="H94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R97" i="12"/>
  <c r="R96" i="12"/>
  <c r="R95" i="12"/>
  <c r="R94" i="12"/>
  <c r="R92" i="12"/>
  <c r="R91" i="12"/>
  <c r="R88" i="12"/>
  <c r="R86" i="12"/>
  <c r="R85" i="12"/>
  <c r="R84" i="12"/>
  <c r="R83" i="12"/>
  <c r="R82" i="12"/>
  <c r="R81" i="12"/>
  <c r="R80" i="12"/>
  <c r="R79" i="12"/>
  <c r="L128" i="12"/>
  <c r="L125" i="12"/>
  <c r="L124" i="12"/>
  <c r="L123" i="12"/>
  <c r="L122" i="12"/>
  <c r="L121" i="12"/>
  <c r="L120" i="12"/>
  <c r="L119" i="12"/>
  <c r="L118" i="12"/>
  <c r="L117" i="12"/>
  <c r="L116" i="12"/>
  <c r="L115" i="12"/>
  <c r="L113" i="12"/>
  <c r="L112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89" i="12"/>
  <c r="L88" i="12"/>
  <c r="L87" i="12"/>
  <c r="L86" i="12"/>
  <c r="L84" i="12"/>
  <c r="L83" i="12"/>
  <c r="L82" i="12"/>
  <c r="L81" i="12"/>
  <c r="L80" i="12"/>
  <c r="L79" i="12"/>
  <c r="L75" i="12"/>
  <c r="L73" i="12"/>
  <c r="K68" i="12"/>
  <c r="Q14" i="1"/>
  <c r="Q10" i="1"/>
  <c r="P110" i="1"/>
  <c r="P106" i="1"/>
  <c r="S17" i="4"/>
  <c r="S15" i="4"/>
  <c r="S13" i="4"/>
  <c r="G17" i="4"/>
  <c r="G15" i="4"/>
  <c r="G13" i="4"/>
  <c r="R191" i="12"/>
  <c r="R190" i="12"/>
  <c r="R189" i="12"/>
  <c r="R188" i="12"/>
  <c r="R187" i="12"/>
  <c r="R186" i="12"/>
  <c r="R185" i="12"/>
  <c r="R184" i="12"/>
  <c r="R177" i="12"/>
  <c r="R176" i="12"/>
  <c r="R175" i="12"/>
  <c r="R174" i="12"/>
  <c r="R173" i="12"/>
  <c r="R172" i="12"/>
  <c r="R171" i="12"/>
  <c r="R170" i="12"/>
  <c r="R169" i="12"/>
  <c r="R168" i="12"/>
  <c r="R167" i="12"/>
  <c r="R166" i="12"/>
  <c r="R165" i="12"/>
  <c r="R164" i="12"/>
  <c r="R163" i="12"/>
  <c r="R162" i="12"/>
  <c r="R161" i="12"/>
  <c r="R160" i="12"/>
  <c r="R158" i="12"/>
  <c r="R156" i="12"/>
  <c r="R155" i="12"/>
  <c r="R154" i="12"/>
  <c r="R153" i="12"/>
  <c r="R152" i="12"/>
  <c r="R151" i="12"/>
  <c r="R150" i="12"/>
  <c r="R149" i="12"/>
  <c r="R148" i="12"/>
  <c r="R147" i="12"/>
  <c r="R146" i="12"/>
  <c r="R145" i="12"/>
  <c r="R144" i="12"/>
  <c r="N149" i="12"/>
  <c r="N150" i="12" s="1"/>
  <c r="N151" i="12" s="1"/>
  <c r="N152" i="12" s="1"/>
  <c r="N153" i="12" s="1"/>
  <c r="N154" i="12" s="1"/>
  <c r="N155" i="12" s="1"/>
  <c r="R288" i="12" l="1"/>
  <c r="R285" i="12"/>
  <c r="R284" i="12"/>
  <c r="R283" i="12"/>
  <c r="R275" i="12"/>
  <c r="R274" i="12"/>
  <c r="R273" i="12"/>
  <c r="R272" i="12"/>
  <c r="R271" i="12"/>
  <c r="R270" i="12"/>
  <c r="R269" i="12"/>
  <c r="R268" i="12"/>
  <c r="L317" i="12"/>
  <c r="L316" i="12"/>
  <c r="L315" i="12"/>
  <c r="L314" i="12"/>
  <c r="L312" i="12"/>
  <c r="L311" i="12"/>
  <c r="L310" i="12"/>
  <c r="L309" i="12"/>
  <c r="L308" i="12"/>
  <c r="L307" i="12"/>
  <c r="L306" i="12"/>
  <c r="L305" i="12"/>
  <c r="L304" i="12"/>
  <c r="L303" i="12"/>
  <c r="L302" i="12"/>
  <c r="L301" i="12"/>
  <c r="L300" i="12"/>
  <c r="L299" i="12"/>
  <c r="L298" i="12"/>
  <c r="L297" i="12"/>
  <c r="L296" i="12"/>
  <c r="L295" i="12"/>
  <c r="L294" i="12"/>
  <c r="L293" i="12"/>
  <c r="L292" i="12"/>
  <c r="L291" i="12"/>
  <c r="L290" i="12"/>
  <c r="L289" i="12"/>
  <c r="L288" i="12"/>
  <c r="L287" i="12"/>
  <c r="L286" i="12"/>
  <c r="L285" i="12"/>
  <c r="L284" i="12"/>
  <c r="L282" i="12"/>
  <c r="L281" i="12"/>
  <c r="L280" i="12"/>
  <c r="L278" i="12"/>
  <c r="L277" i="12"/>
  <c r="L275" i="12"/>
  <c r="L274" i="12"/>
  <c r="L273" i="12"/>
  <c r="L272" i="12"/>
  <c r="L271" i="12"/>
  <c r="L270" i="12"/>
  <c r="L269" i="12"/>
  <c r="L268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F262" i="12"/>
  <c r="L255" i="12"/>
  <c r="L254" i="12"/>
  <c r="L253" i="12"/>
  <c r="L252" i="12"/>
  <c r="L250" i="12"/>
  <c r="L249" i="12"/>
  <c r="L248" i="12"/>
  <c r="L247" i="12"/>
  <c r="L246" i="12"/>
  <c r="L245" i="12"/>
  <c r="L244" i="12"/>
  <c r="L243" i="12"/>
  <c r="L242" i="12"/>
  <c r="L241" i="12"/>
  <c r="L240" i="12"/>
  <c r="L239" i="12"/>
  <c r="L238" i="12"/>
  <c r="L237" i="12"/>
  <c r="L236" i="12"/>
  <c r="L235" i="12"/>
  <c r="L234" i="12"/>
  <c r="L233" i="12"/>
  <c r="L232" i="12"/>
  <c r="L231" i="12"/>
  <c r="L230" i="12"/>
  <c r="L229" i="12"/>
  <c r="L228" i="12"/>
  <c r="L227" i="12"/>
  <c r="L226" i="12"/>
  <c r="L225" i="12"/>
  <c r="L224" i="12"/>
  <c r="L223" i="12"/>
  <c r="L222" i="12"/>
  <c r="L220" i="12"/>
  <c r="L219" i="12"/>
  <c r="L218" i="12"/>
  <c r="L216" i="12"/>
  <c r="L215" i="12"/>
  <c r="L213" i="12"/>
  <c r="L212" i="12"/>
  <c r="L211" i="12"/>
  <c r="L210" i="12"/>
  <c r="L209" i="12"/>
  <c r="L208" i="12"/>
  <c r="L207" i="12"/>
  <c r="L206" i="12"/>
  <c r="H256" i="12"/>
  <c r="H254" i="12"/>
  <c r="H253" i="12"/>
  <c r="H252" i="12"/>
  <c r="H251" i="12"/>
  <c r="H250" i="12"/>
  <c r="H247" i="12"/>
  <c r="H246" i="12"/>
  <c r="H245" i="12"/>
  <c r="H244" i="12"/>
  <c r="H243" i="12"/>
  <c r="H242" i="12"/>
  <c r="H240" i="12"/>
  <c r="H239" i="12"/>
  <c r="H238" i="12"/>
  <c r="H237" i="12"/>
  <c r="H236" i="12"/>
  <c r="H235" i="12"/>
  <c r="H234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F200" i="12"/>
  <c r="R226" i="12"/>
  <c r="R223" i="12"/>
  <c r="R222" i="12"/>
  <c r="R221" i="12"/>
  <c r="R213" i="12"/>
  <c r="R212" i="12"/>
  <c r="R211" i="12"/>
  <c r="R210" i="12"/>
  <c r="R209" i="12"/>
  <c r="R208" i="12"/>
  <c r="L193" i="12"/>
  <c r="L192" i="12"/>
  <c r="L191" i="12"/>
  <c r="L190" i="12"/>
  <c r="L188" i="12"/>
  <c r="L187" i="12"/>
  <c r="L186" i="12"/>
  <c r="L185" i="12"/>
  <c r="L184" i="12"/>
  <c r="L183" i="12"/>
  <c r="L182" i="12"/>
  <c r="L181" i="12"/>
  <c r="L180" i="12"/>
  <c r="L179" i="12"/>
  <c r="L178" i="12"/>
  <c r="L177" i="12"/>
  <c r="L176" i="12"/>
  <c r="L175" i="12"/>
  <c r="L174" i="12"/>
  <c r="L173" i="12"/>
  <c r="L172" i="12"/>
  <c r="L171" i="12"/>
  <c r="L170" i="12"/>
  <c r="L169" i="12"/>
  <c r="L168" i="12"/>
  <c r="L167" i="12"/>
  <c r="L166" i="12"/>
  <c r="L165" i="12"/>
  <c r="L164" i="12"/>
  <c r="L163" i="12"/>
  <c r="L162" i="12"/>
  <c r="L161" i="12"/>
  <c r="L160" i="12"/>
  <c r="L159" i="12"/>
  <c r="L158" i="12"/>
  <c r="L157" i="12"/>
  <c r="L156" i="12"/>
  <c r="L154" i="12"/>
  <c r="L153" i="12"/>
  <c r="L152" i="12"/>
  <c r="L151" i="12"/>
  <c r="L150" i="12"/>
  <c r="L149" i="12"/>
  <c r="L148" i="12"/>
  <c r="L147" i="12"/>
  <c r="L146" i="12"/>
  <c r="L145" i="12"/>
  <c r="L144" i="12"/>
  <c r="H194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J138" i="12"/>
  <c r="F140" i="12"/>
  <c r="F138" i="12"/>
  <c r="J62" i="16"/>
  <c r="N18" i="13"/>
  <c r="N16" i="13"/>
  <c r="N14" i="13"/>
  <c r="F18" i="13"/>
  <c r="F16" i="13"/>
  <c r="F14" i="13"/>
  <c r="J12" i="3"/>
  <c r="S30" i="12"/>
  <c r="S29" i="12"/>
  <c r="S28" i="12"/>
  <c r="S27" i="12"/>
  <c r="S26" i="12"/>
  <c r="S22" i="12"/>
  <c r="S20" i="12"/>
  <c r="S19" i="12"/>
  <c r="S18" i="12"/>
  <c r="S17" i="12"/>
  <c r="S16" i="12"/>
  <c r="S15" i="12"/>
  <c r="S14" i="12"/>
  <c r="S13" i="12"/>
  <c r="M62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7" i="12"/>
  <c r="M46" i="12"/>
  <c r="M44" i="12"/>
  <c r="M43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7" i="12"/>
  <c r="M26" i="12"/>
  <c r="M25" i="12"/>
  <c r="M24" i="12"/>
  <c r="M23" i="12"/>
  <c r="M22" i="12"/>
  <c r="M21" i="12"/>
  <c r="M19" i="12"/>
  <c r="M18" i="12"/>
  <c r="M17" i="12"/>
  <c r="M16" i="12"/>
  <c r="M15" i="12"/>
  <c r="M14" i="12"/>
  <c r="M13" i="12"/>
  <c r="I60" i="12"/>
  <c r="I59" i="12"/>
  <c r="I58" i="12"/>
  <c r="I57" i="12"/>
  <c r="I56" i="12"/>
  <c r="I54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6" i="12"/>
  <c r="I25" i="12"/>
  <c r="I23" i="12"/>
  <c r="I22" i="12"/>
  <c r="I21" i="12"/>
  <c r="I20" i="12"/>
  <c r="I19" i="12"/>
  <c r="I18" i="12"/>
  <c r="I17" i="12"/>
  <c r="I16" i="12"/>
  <c r="I15" i="12"/>
  <c r="I14" i="12"/>
  <c r="I13" i="12"/>
  <c r="G7" i="12"/>
  <c r="J19" i="16"/>
  <c r="K108" i="1"/>
  <c r="N213" i="9"/>
  <c r="N208" i="9"/>
  <c r="N206" i="9"/>
  <c r="K205" i="1"/>
  <c r="N97" i="9"/>
  <c r="N95" i="9"/>
  <c r="N93" i="9"/>
  <c r="N14" i="9"/>
  <c r="N12" i="9"/>
  <c r="N10" i="9"/>
  <c r="T97" i="7"/>
  <c r="T96" i="7"/>
  <c r="T95" i="7"/>
  <c r="T94" i="7"/>
  <c r="T93" i="7"/>
  <c r="T92" i="7"/>
  <c r="T90" i="7"/>
  <c r="T89" i="7"/>
  <c r="T86" i="7"/>
  <c r="T85" i="7"/>
  <c r="T84" i="7"/>
  <c r="T79" i="7"/>
  <c r="T78" i="7"/>
  <c r="T77" i="7"/>
  <c r="T76" i="7"/>
  <c r="T75" i="7"/>
  <c r="T74" i="7"/>
  <c r="T73" i="7"/>
  <c r="N72" i="7"/>
  <c r="N121" i="7"/>
  <c r="N116" i="7"/>
  <c r="N115" i="7"/>
  <c r="N114" i="7"/>
  <c r="N113" i="7"/>
  <c r="N112" i="7"/>
  <c r="N111" i="7"/>
  <c r="N110" i="7"/>
  <c r="N109" i="7"/>
  <c r="N108" i="7"/>
  <c r="N107" i="7"/>
  <c r="N103" i="7"/>
  <c r="N102" i="7"/>
  <c r="N101" i="7"/>
  <c r="N100" i="7"/>
  <c r="N99" i="7"/>
  <c r="N98" i="7"/>
  <c r="N97" i="7"/>
  <c r="N96" i="7"/>
  <c r="N95" i="7"/>
  <c r="N91" i="7"/>
  <c r="N87" i="7"/>
  <c r="N82" i="7"/>
  <c r="N81" i="7"/>
  <c r="N80" i="7"/>
  <c r="N79" i="7"/>
  <c r="N78" i="7"/>
  <c r="N77" i="7"/>
  <c r="N76" i="7"/>
  <c r="N73" i="7"/>
  <c r="O63" i="7"/>
  <c r="I121" i="7"/>
  <c r="I119" i="7"/>
  <c r="I118" i="7"/>
  <c r="I117" i="7"/>
  <c r="I116" i="7"/>
  <c r="I115" i="7"/>
  <c r="I114" i="7"/>
  <c r="I113" i="7"/>
  <c r="I111" i="7"/>
  <c r="I110" i="7"/>
  <c r="I109" i="7"/>
  <c r="I108" i="7"/>
  <c r="I106" i="7"/>
  <c r="I105" i="7"/>
  <c r="I104" i="7"/>
  <c r="I103" i="7"/>
  <c r="I102" i="7"/>
  <c r="I101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3" i="7"/>
  <c r="I72" i="7"/>
  <c r="I70" i="6"/>
  <c r="I69" i="6"/>
  <c r="I68" i="6"/>
  <c r="I64" i="6"/>
  <c r="I63" i="6"/>
  <c r="I62" i="6"/>
  <c r="I61" i="6"/>
  <c r="I60" i="6"/>
  <c r="I59" i="6"/>
  <c r="I58" i="6"/>
  <c r="I56" i="6"/>
  <c r="I55" i="6"/>
  <c r="I54" i="6"/>
  <c r="I51" i="6"/>
  <c r="I50" i="6"/>
  <c r="I49" i="6"/>
  <c r="I48" i="6"/>
  <c r="I47" i="6"/>
  <c r="I46" i="6"/>
  <c r="I45" i="6"/>
  <c r="I43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O80" i="6"/>
  <c r="O79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3" i="6"/>
  <c r="O42" i="6"/>
  <c r="O41" i="6"/>
  <c r="O40" i="6"/>
  <c r="O38" i="6"/>
  <c r="O36" i="6"/>
  <c r="O32" i="6"/>
  <c r="O28" i="6"/>
  <c r="O26" i="6"/>
  <c r="O25" i="6"/>
  <c r="O24" i="6"/>
  <c r="L21" i="6"/>
  <c r="L17" i="6"/>
  <c r="I17" i="6"/>
  <c r="L15" i="6"/>
  <c r="I21" i="6"/>
  <c r="I15" i="6"/>
  <c r="Q204" i="5"/>
  <c r="Q203" i="5"/>
  <c r="Q202" i="5"/>
  <c r="Q201" i="5"/>
  <c r="Q200" i="5"/>
  <c r="Q198" i="5"/>
  <c r="K267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3" i="5"/>
  <c r="K232" i="5"/>
  <c r="K231" i="5"/>
  <c r="K230" i="5"/>
  <c r="K229" i="5"/>
  <c r="K225" i="5"/>
  <c r="K220" i="5"/>
  <c r="K218" i="5"/>
  <c r="K215" i="5"/>
  <c r="K213" i="5"/>
  <c r="K211" i="5"/>
  <c r="K210" i="5"/>
  <c r="K209" i="5"/>
  <c r="K206" i="5"/>
  <c r="K205" i="5"/>
  <c r="K204" i="5"/>
  <c r="K203" i="5"/>
  <c r="K202" i="5"/>
  <c r="K201" i="5"/>
  <c r="K198" i="5"/>
  <c r="E256" i="5"/>
  <c r="E248" i="5"/>
  <c r="E246" i="5"/>
  <c r="E245" i="5"/>
  <c r="E244" i="5"/>
  <c r="E241" i="5"/>
  <c r="E240" i="5"/>
  <c r="E239" i="5"/>
  <c r="E238" i="5"/>
  <c r="E237" i="5"/>
  <c r="E236" i="5"/>
  <c r="E234" i="5"/>
  <c r="E233" i="5"/>
  <c r="E232" i="5"/>
  <c r="E229" i="5"/>
  <c r="E228" i="5"/>
  <c r="E227" i="5"/>
  <c r="E226" i="5"/>
  <c r="E225" i="5"/>
  <c r="E224" i="5"/>
  <c r="E223" i="5"/>
  <c r="E222" i="5"/>
  <c r="E220" i="5"/>
  <c r="E219" i="5"/>
  <c r="E218" i="5"/>
  <c r="E217" i="5"/>
  <c r="E216" i="5"/>
  <c r="E215" i="5"/>
  <c r="E214" i="5"/>
  <c r="E213" i="5"/>
  <c r="E211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F190" i="5"/>
  <c r="F189" i="5"/>
  <c r="R119" i="5"/>
  <c r="R118" i="5"/>
  <c r="R116" i="5"/>
  <c r="R115" i="5"/>
  <c r="R114" i="5"/>
  <c r="R113" i="5"/>
  <c r="R112" i="5"/>
  <c r="L181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7" i="5"/>
  <c r="L146" i="5"/>
  <c r="L145" i="5"/>
  <c r="L144" i="5"/>
  <c r="L143" i="5"/>
  <c r="L139" i="5"/>
  <c r="L134" i="5"/>
  <c r="L132" i="5"/>
  <c r="L129" i="5"/>
  <c r="L127" i="5"/>
  <c r="L125" i="5"/>
  <c r="L124" i="5"/>
  <c r="L123" i="5"/>
  <c r="L120" i="5"/>
  <c r="L119" i="5"/>
  <c r="L118" i="5"/>
  <c r="L117" i="5"/>
  <c r="L116" i="5"/>
  <c r="L115" i="5"/>
  <c r="L112" i="5"/>
  <c r="E170" i="5"/>
  <c r="E162" i="5"/>
  <c r="E160" i="5"/>
  <c r="E159" i="5"/>
  <c r="E158" i="5"/>
  <c r="E155" i="5"/>
  <c r="E154" i="5"/>
  <c r="E153" i="5"/>
  <c r="E152" i="5"/>
  <c r="E151" i="5"/>
  <c r="E150" i="5"/>
  <c r="E148" i="5"/>
  <c r="E147" i="5"/>
  <c r="E146" i="5"/>
  <c r="E143" i="5"/>
  <c r="E142" i="5"/>
  <c r="E141" i="5"/>
  <c r="E140" i="5"/>
  <c r="E139" i="5"/>
  <c r="E138" i="5"/>
  <c r="E137" i="5"/>
  <c r="E136" i="5"/>
  <c r="E134" i="5"/>
  <c r="E133" i="5"/>
  <c r="E132" i="5"/>
  <c r="E131" i="5"/>
  <c r="E130" i="5"/>
  <c r="E129" i="5"/>
  <c r="E128" i="5"/>
  <c r="E127" i="5"/>
  <c r="E125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F101" i="5"/>
  <c r="F100" i="5"/>
  <c r="Q26" i="5"/>
  <c r="Q25" i="5"/>
  <c r="Q24" i="5"/>
  <c r="K92" i="5"/>
  <c r="K90" i="5"/>
  <c r="K89" i="5"/>
  <c r="K88" i="5"/>
  <c r="K86" i="5"/>
  <c r="K85" i="5"/>
  <c r="K84" i="5"/>
  <c r="K83" i="5"/>
  <c r="K82" i="5"/>
  <c r="K81" i="5"/>
  <c r="K80" i="5"/>
  <c r="K79" i="5"/>
  <c r="K78" i="5"/>
  <c r="K77" i="5"/>
  <c r="K76" i="5"/>
  <c r="K75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7" i="5"/>
  <c r="K56" i="5"/>
  <c r="K55" i="5"/>
  <c r="K54" i="5"/>
  <c r="K53" i="5"/>
  <c r="K49" i="5"/>
  <c r="K44" i="5"/>
  <c r="K42" i="5"/>
  <c r="K39" i="5"/>
  <c r="K37" i="5"/>
  <c r="K33" i="5"/>
  <c r="K30" i="5"/>
  <c r="K29" i="5"/>
  <c r="K28" i="5"/>
  <c r="K27" i="5"/>
  <c r="K26" i="5"/>
  <c r="K25" i="5"/>
  <c r="E65" i="5"/>
  <c r="E64" i="5"/>
  <c r="E63" i="5"/>
  <c r="E62" i="5"/>
  <c r="E61" i="5"/>
  <c r="E60" i="5"/>
  <c r="E58" i="5"/>
  <c r="E57" i="5"/>
  <c r="E56" i="5"/>
  <c r="E53" i="5"/>
  <c r="E52" i="5"/>
  <c r="E51" i="5"/>
  <c r="E50" i="5"/>
  <c r="E49" i="5"/>
  <c r="E48" i="5"/>
  <c r="E47" i="5"/>
  <c r="E46" i="5"/>
  <c r="E44" i="5"/>
  <c r="E43" i="5"/>
  <c r="E42" i="5"/>
  <c r="E41" i="5"/>
  <c r="E40" i="5"/>
  <c r="E39" i="5"/>
  <c r="E38" i="5"/>
  <c r="E37" i="5"/>
  <c r="E30" i="5"/>
  <c r="E29" i="5"/>
  <c r="E28" i="5"/>
  <c r="E27" i="5"/>
  <c r="E26" i="5"/>
  <c r="E25" i="5"/>
  <c r="E24" i="5"/>
  <c r="E23" i="5"/>
  <c r="E22" i="5"/>
  <c r="F19" i="5"/>
  <c r="F18" i="5"/>
  <c r="J109" i="15"/>
  <c r="N355" i="9"/>
  <c r="N354" i="9"/>
  <c r="N353" i="9"/>
  <c r="N352" i="9"/>
  <c r="N351" i="9"/>
  <c r="N350" i="9"/>
  <c r="N349" i="9"/>
  <c r="N348" i="9"/>
  <c r="N347" i="9"/>
  <c r="N346" i="9"/>
  <c r="N345" i="9"/>
  <c r="N344" i="9"/>
  <c r="N343" i="9"/>
  <c r="N342" i="9"/>
  <c r="N341" i="9"/>
  <c r="N340" i="9"/>
  <c r="N339" i="9"/>
  <c r="N338" i="9"/>
  <c r="N337" i="9"/>
  <c r="N336" i="9"/>
  <c r="N335" i="9"/>
  <c r="N334" i="9"/>
  <c r="N333" i="9"/>
  <c r="N332" i="9"/>
  <c r="N331" i="9"/>
  <c r="N330" i="9"/>
  <c r="N329" i="9"/>
  <c r="N328" i="9"/>
  <c r="N327" i="9"/>
  <c r="N326" i="9"/>
  <c r="N325" i="9"/>
  <c r="N324" i="9"/>
  <c r="N323" i="9"/>
  <c r="N322" i="9"/>
  <c r="N321" i="9"/>
  <c r="N320" i="9"/>
  <c r="N319" i="9"/>
  <c r="N318" i="9"/>
  <c r="N317" i="9"/>
  <c r="N316" i="9"/>
  <c r="N315" i="9"/>
  <c r="N314" i="9"/>
  <c r="N313" i="9"/>
  <c r="N312" i="9"/>
  <c r="N311" i="9"/>
  <c r="N310" i="9"/>
  <c r="N309" i="9"/>
  <c r="N308" i="9"/>
  <c r="N307" i="9"/>
  <c r="N306" i="9"/>
  <c r="N305" i="9"/>
  <c r="N304" i="9"/>
  <c r="N303" i="9"/>
  <c r="N302" i="9"/>
  <c r="N301" i="9"/>
  <c r="N300" i="9"/>
  <c r="N299" i="9"/>
  <c r="N295" i="9"/>
  <c r="N293" i="9"/>
  <c r="U55" i="15"/>
  <c r="J55" i="15"/>
  <c r="O99" i="1"/>
  <c r="O98" i="1"/>
  <c r="O97" i="1"/>
  <c r="O96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4" i="1"/>
  <c r="O51" i="1"/>
  <c r="O50" i="1"/>
  <c r="O49" i="1"/>
  <c r="O48" i="1"/>
  <c r="O47" i="1"/>
  <c r="O46" i="1"/>
  <c r="O45" i="1"/>
  <c r="O44" i="1"/>
  <c r="O43" i="1"/>
  <c r="O42" i="1"/>
  <c r="O41" i="1"/>
  <c r="O40" i="1"/>
  <c r="O37" i="1"/>
  <c r="O36" i="1"/>
  <c r="O35" i="1"/>
  <c r="O34" i="1"/>
  <c r="O33" i="1"/>
  <c r="O31" i="1"/>
  <c r="O30" i="1"/>
  <c r="O28" i="1"/>
  <c r="O26" i="1"/>
  <c r="I88" i="1"/>
  <c r="I87" i="1"/>
  <c r="I86" i="1"/>
  <c r="I85" i="1"/>
  <c r="I84" i="1"/>
  <c r="I83" i="1"/>
  <c r="I82" i="1"/>
  <c r="I81" i="1"/>
  <c r="I80" i="1"/>
  <c r="I73" i="1"/>
  <c r="I72" i="1"/>
  <c r="I71" i="1"/>
  <c r="I70" i="1"/>
  <c r="I69" i="1"/>
  <c r="I68" i="1"/>
  <c r="I67" i="1"/>
  <c r="I65" i="1"/>
  <c r="I64" i="1"/>
  <c r="I63" i="1"/>
  <c r="I62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P10" i="1"/>
  <c r="K22" i="1"/>
  <c r="K20" i="1"/>
  <c r="K18" i="1"/>
  <c r="K16" i="1"/>
  <c r="K14" i="1"/>
  <c r="K10" i="1"/>
  <c r="I177" i="8"/>
  <c r="I97" i="8"/>
  <c r="I95" i="8"/>
  <c r="I179" i="8" l="1"/>
  <c r="I15" i="8"/>
  <c r="I13" i="8"/>
  <c r="I201" i="2"/>
  <c r="I11" i="2"/>
  <c r="I9" i="2"/>
  <c r="O165" i="13"/>
  <c r="O166" i="13" s="1"/>
  <c r="O167" i="13" s="1"/>
  <c r="O168" i="13" s="1"/>
  <c r="O169" i="13" s="1"/>
  <c r="O170" i="13" s="1"/>
  <c r="O171" i="13" s="1"/>
  <c r="O172" i="13" s="1"/>
  <c r="O173" i="13" s="1"/>
  <c r="O174" i="13" s="1"/>
  <c r="O175" i="13" s="1"/>
  <c r="O176" i="13" s="1"/>
  <c r="O177" i="13" s="1"/>
  <c r="O178" i="13" s="1"/>
  <c r="O179" i="13" s="1"/>
  <c r="O180" i="13" s="1"/>
  <c r="O181" i="13" s="1"/>
  <c r="O182" i="13" s="1"/>
  <c r="O183" i="13" s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3" i="1"/>
  <c r="O132" i="1"/>
  <c r="O131" i="1"/>
  <c r="O130" i="1"/>
  <c r="O129" i="1"/>
  <c r="O128" i="1"/>
  <c r="O126" i="1"/>
  <c r="O125" i="1"/>
  <c r="O124" i="1"/>
  <c r="O123" i="1"/>
  <c r="O122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3" i="1"/>
  <c r="N132" i="1"/>
  <c r="N131" i="1"/>
  <c r="N130" i="1"/>
  <c r="N129" i="1"/>
  <c r="N128" i="1"/>
  <c r="N126" i="1"/>
  <c r="N125" i="1"/>
  <c r="N124" i="1"/>
  <c r="N123" i="1"/>
  <c r="N122" i="1"/>
  <c r="J17" i="15" l="1"/>
  <c r="N280" i="9"/>
  <c r="N278" i="9"/>
  <c r="N277" i="9"/>
  <c r="N273" i="9"/>
  <c r="N272" i="9"/>
  <c r="N271" i="9"/>
  <c r="N269" i="9"/>
  <c r="N268" i="9"/>
  <c r="N267" i="9"/>
  <c r="N266" i="9"/>
  <c r="N265" i="9"/>
  <c r="N264" i="9"/>
  <c r="N262" i="9"/>
  <c r="N261" i="9"/>
  <c r="N260" i="9"/>
  <c r="N259" i="9"/>
  <c r="N249" i="9"/>
  <c r="N248" i="9"/>
  <c r="N247" i="9"/>
  <c r="N246" i="9"/>
  <c r="N245" i="9"/>
  <c r="N244" i="9"/>
  <c r="N243" i="9"/>
  <c r="N242" i="9"/>
  <c r="N241" i="9"/>
  <c r="N240" i="9"/>
  <c r="N239" i="9"/>
  <c r="N238" i="9"/>
  <c r="N237" i="9"/>
  <c r="N236" i="9"/>
  <c r="N235" i="9"/>
  <c r="N234" i="9"/>
  <c r="N233" i="9"/>
  <c r="N232" i="9"/>
  <c r="N231" i="9"/>
  <c r="N230" i="9"/>
  <c r="N227" i="9"/>
  <c r="N226" i="9"/>
  <c r="N225" i="9"/>
  <c r="N223" i="9"/>
  <c r="N222" i="9"/>
  <c r="N221" i="9"/>
  <c r="N219" i="9"/>
  <c r="N217" i="9"/>
  <c r="N216" i="9"/>
  <c r="N215" i="9"/>
  <c r="N214" i="9"/>
  <c r="N212" i="9"/>
  <c r="N211" i="9"/>
  <c r="N209" i="9"/>
  <c r="N205" i="9"/>
  <c r="N204" i="9"/>
  <c r="N191" i="9"/>
  <c r="N200" i="9"/>
  <c r="N199" i="9"/>
  <c r="N198" i="9"/>
  <c r="N196" i="9"/>
  <c r="N195" i="9"/>
  <c r="N194" i="9"/>
  <c r="N193" i="9"/>
  <c r="N192" i="9"/>
  <c r="I255" i="8"/>
  <c r="I254" i="8"/>
  <c r="I253" i="8"/>
  <c r="I252" i="8"/>
  <c r="I251" i="8"/>
  <c r="I250" i="8"/>
  <c r="I249" i="8"/>
  <c r="I248" i="8"/>
  <c r="I243" i="8"/>
  <c r="I242" i="8"/>
  <c r="I241" i="8"/>
  <c r="I240" i="8"/>
  <c r="I239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2" i="8"/>
  <c r="I211" i="8"/>
  <c r="I210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4" i="8"/>
  <c r="I189" i="8"/>
  <c r="I187" i="8"/>
  <c r="I186" i="8"/>
  <c r="I185" i="8"/>
  <c r="I183" i="8"/>
  <c r="I161" i="8"/>
  <c r="I160" i="8"/>
  <c r="I159" i="8"/>
  <c r="I158" i="8"/>
  <c r="I157" i="8"/>
  <c r="I154" i="8"/>
  <c r="I153" i="8"/>
  <c r="I152" i="8"/>
  <c r="I151" i="8"/>
  <c r="I150" i="8"/>
  <c r="I149" i="8"/>
  <c r="I148" i="8"/>
  <c r="I147" i="8"/>
  <c r="I142" i="8"/>
  <c r="I141" i="8"/>
  <c r="I140" i="8"/>
  <c r="I139" i="8"/>
  <c r="I138" i="8"/>
  <c r="I137" i="8"/>
  <c r="I136" i="8"/>
  <c r="I135" i="8"/>
  <c r="I134" i="8"/>
  <c r="I133" i="8"/>
  <c r="I130" i="8"/>
  <c r="I129" i="8"/>
  <c r="I128" i="8"/>
  <c r="I126" i="8"/>
  <c r="I125" i="8"/>
  <c r="I124" i="8"/>
  <c r="I123" i="8"/>
  <c r="I122" i="8"/>
  <c r="I121" i="8"/>
  <c r="I120" i="8"/>
  <c r="I115" i="8"/>
  <c r="I114" i="8"/>
  <c r="I119" i="8"/>
  <c r="I118" i="8"/>
  <c r="I117" i="8"/>
  <c r="I116" i="8"/>
  <c r="I112" i="8"/>
  <c r="I111" i="8"/>
  <c r="I110" i="8"/>
  <c r="I109" i="8"/>
  <c r="I107" i="8"/>
  <c r="I101" i="8"/>
  <c r="I83" i="8"/>
  <c r="I82" i="8"/>
  <c r="I81" i="8"/>
  <c r="I80" i="8"/>
  <c r="I79" i="8"/>
  <c r="I78" i="8"/>
  <c r="I76" i="8"/>
  <c r="I75" i="8"/>
  <c r="I74" i="8"/>
  <c r="I73" i="8"/>
  <c r="I72" i="8"/>
  <c r="I71" i="8"/>
  <c r="I70" i="8"/>
  <c r="I69" i="8"/>
  <c r="I68" i="8"/>
  <c r="I61" i="8"/>
  <c r="I60" i="8"/>
  <c r="I59" i="8"/>
  <c r="I58" i="8"/>
  <c r="I57" i="8"/>
  <c r="I56" i="8"/>
  <c r="I55" i="8"/>
  <c r="I54" i="8"/>
  <c r="I51" i="8"/>
  <c r="I50" i="8"/>
  <c r="I49" i="8"/>
  <c r="I48" i="8"/>
  <c r="I47" i="8"/>
  <c r="I46" i="8"/>
  <c r="I45" i="8"/>
  <c r="I44" i="8"/>
  <c r="I43" i="8"/>
  <c r="I41" i="8"/>
  <c r="I40" i="8"/>
  <c r="I39" i="8"/>
  <c r="I36" i="8"/>
  <c r="I35" i="8"/>
  <c r="I33" i="8"/>
  <c r="I32" i="8"/>
  <c r="I31" i="8"/>
  <c r="I30" i="8"/>
  <c r="I29" i="8"/>
  <c r="I28" i="8"/>
  <c r="I27" i="8"/>
  <c r="I26" i="8"/>
  <c r="I25" i="8"/>
  <c r="I21" i="8"/>
  <c r="I20" i="8"/>
  <c r="T33" i="7"/>
  <c r="T30" i="7"/>
  <c r="T25" i="7"/>
  <c r="T24" i="7"/>
  <c r="T16" i="7"/>
  <c r="T15" i="7"/>
  <c r="T14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3" i="7"/>
  <c r="O42" i="7"/>
  <c r="O41" i="7"/>
  <c r="O40" i="7"/>
  <c r="O39" i="7"/>
  <c r="O38" i="7"/>
  <c r="O37" i="7"/>
  <c r="O36" i="7"/>
  <c r="O26" i="7"/>
  <c r="O22" i="7"/>
  <c r="O21" i="7"/>
  <c r="O16" i="7"/>
  <c r="O13" i="7"/>
  <c r="O12" i="7"/>
  <c r="I50" i="7"/>
  <c r="I49" i="7"/>
  <c r="I48" i="7"/>
  <c r="I41" i="7"/>
  <c r="I39" i="7"/>
  <c r="I38" i="7"/>
  <c r="I34" i="7"/>
  <c r="I31" i="7"/>
  <c r="I30" i="7"/>
  <c r="I29" i="7"/>
  <c r="I28" i="7"/>
  <c r="I25" i="7"/>
  <c r="I24" i="7"/>
  <c r="I23" i="7"/>
  <c r="I22" i="7"/>
  <c r="I21" i="7"/>
  <c r="I18" i="7"/>
  <c r="I17" i="7"/>
  <c r="I16" i="7"/>
  <c r="N6" i="7"/>
  <c r="P311" i="5"/>
  <c r="P310" i="5"/>
  <c r="P309" i="5"/>
  <c r="P308" i="5"/>
  <c r="P307" i="5"/>
  <c r="P306" i="5"/>
  <c r="P305" i="5"/>
  <c r="P304" i="5"/>
  <c r="P303" i="5"/>
  <c r="P302" i="5"/>
  <c r="P301" i="5"/>
  <c r="P300" i="5"/>
  <c r="P299" i="5"/>
  <c r="P298" i="5"/>
  <c r="P297" i="5"/>
  <c r="P296" i="5"/>
  <c r="J363" i="5"/>
  <c r="J362" i="5"/>
  <c r="J360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39" i="5"/>
  <c r="J338" i="5"/>
  <c r="J337" i="5"/>
  <c r="J336" i="5"/>
  <c r="J335" i="5"/>
  <c r="J334" i="5"/>
  <c r="J333" i="5"/>
  <c r="J332" i="5"/>
  <c r="J331" i="5"/>
  <c r="J330" i="5"/>
  <c r="J328" i="5"/>
  <c r="J325" i="5"/>
  <c r="J314" i="5"/>
  <c r="J311" i="5"/>
  <c r="J305" i="5"/>
  <c r="J302" i="5"/>
  <c r="J301" i="5"/>
  <c r="J299" i="5"/>
  <c r="J297" i="5"/>
  <c r="E337" i="5"/>
  <c r="E336" i="5"/>
  <c r="E335" i="5"/>
  <c r="E325" i="5"/>
  <c r="E324" i="5"/>
  <c r="E323" i="5"/>
  <c r="E322" i="5"/>
  <c r="E321" i="5"/>
  <c r="E320" i="5"/>
  <c r="E319" i="5"/>
  <c r="E317" i="5"/>
  <c r="E316" i="5"/>
  <c r="E315" i="5"/>
  <c r="E314" i="5"/>
  <c r="E313" i="5"/>
  <c r="E312" i="5"/>
  <c r="E311" i="5"/>
  <c r="E310" i="5"/>
  <c r="E309" i="5"/>
  <c r="E302" i="5"/>
  <c r="E291" i="5"/>
  <c r="E290" i="5"/>
  <c r="S241" i="4"/>
  <c r="S239" i="4"/>
  <c r="S237" i="4"/>
  <c r="M326" i="4"/>
  <c r="M319" i="4"/>
  <c r="M317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7" i="4"/>
  <c r="M285" i="4"/>
  <c r="M284" i="4"/>
  <c r="M283" i="4"/>
  <c r="M282" i="4"/>
  <c r="M281" i="4"/>
  <c r="M280" i="4"/>
  <c r="M279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3" i="4"/>
  <c r="M262" i="4"/>
  <c r="M261" i="4"/>
  <c r="M260" i="4"/>
  <c r="M259" i="4"/>
  <c r="M258" i="4"/>
  <c r="M257" i="4"/>
  <c r="M255" i="4"/>
  <c r="M254" i="4"/>
  <c r="M253" i="4"/>
  <c r="M252" i="4"/>
  <c r="H305" i="4"/>
  <c r="H304" i="4"/>
  <c r="H303" i="4"/>
  <c r="H302" i="4"/>
  <c r="H301" i="4"/>
  <c r="H299" i="4"/>
  <c r="H298" i="4"/>
  <c r="H297" i="4"/>
  <c r="H296" i="4"/>
  <c r="H295" i="4"/>
  <c r="H294" i="4"/>
  <c r="H293" i="4"/>
  <c r="H292" i="4"/>
  <c r="H291" i="4"/>
  <c r="H290" i="4"/>
  <c r="H288" i="4"/>
  <c r="H286" i="4"/>
  <c r="H285" i="4"/>
  <c r="H284" i="4"/>
  <c r="H283" i="4"/>
  <c r="H280" i="4"/>
  <c r="H279" i="4"/>
  <c r="H278" i="4"/>
  <c r="H277" i="4"/>
  <c r="H276" i="4"/>
  <c r="H275" i="4"/>
  <c r="H274" i="4"/>
  <c r="H273" i="4"/>
  <c r="H272" i="4"/>
  <c r="H271" i="4"/>
  <c r="H269" i="4"/>
  <c r="H268" i="4"/>
  <c r="H267" i="4"/>
  <c r="H266" i="4"/>
  <c r="H265" i="4"/>
  <c r="H264" i="4"/>
  <c r="H263" i="4"/>
  <c r="H262" i="4"/>
  <c r="H260" i="4"/>
  <c r="H259" i="4"/>
  <c r="H258" i="4"/>
  <c r="H257" i="4"/>
  <c r="H256" i="4"/>
  <c r="H255" i="4"/>
  <c r="H254" i="4"/>
  <c r="H253" i="4"/>
  <c r="H252" i="4"/>
  <c r="O247" i="4"/>
  <c r="O249" i="4"/>
  <c r="O245" i="4"/>
  <c r="M237" i="4"/>
  <c r="M235" i="4"/>
  <c r="M233" i="4"/>
  <c r="I243" i="4"/>
  <c r="I241" i="4"/>
  <c r="I239" i="4"/>
  <c r="E237" i="4"/>
  <c r="E239" i="4"/>
  <c r="E235" i="4"/>
  <c r="R17" i="4"/>
  <c r="R15" i="4"/>
  <c r="R13" i="4"/>
  <c r="M218" i="4"/>
  <c r="M211" i="4"/>
  <c r="M209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79" i="4"/>
  <c r="M177" i="4"/>
  <c r="M176" i="4"/>
  <c r="M175" i="4"/>
  <c r="M174" i="4"/>
  <c r="M173" i="4"/>
  <c r="M172" i="4"/>
  <c r="M171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5" i="4"/>
  <c r="M154" i="4"/>
  <c r="M153" i="4"/>
  <c r="M152" i="4"/>
  <c r="M151" i="4"/>
  <c r="M150" i="4"/>
  <c r="M149" i="4"/>
  <c r="M147" i="4"/>
  <c r="M146" i="4"/>
  <c r="M145" i="4"/>
  <c r="M144" i="4"/>
  <c r="H197" i="4"/>
  <c r="H196" i="4"/>
  <c r="H195" i="4"/>
  <c r="H194" i="4"/>
  <c r="H193" i="4"/>
  <c r="H191" i="4"/>
  <c r="H190" i="4"/>
  <c r="H189" i="4"/>
  <c r="H188" i="4"/>
  <c r="H187" i="4"/>
  <c r="H186" i="4"/>
  <c r="H185" i="4"/>
  <c r="H184" i="4"/>
  <c r="H183" i="4"/>
  <c r="H180" i="4"/>
  <c r="H178" i="4"/>
  <c r="H177" i="4"/>
  <c r="H176" i="4"/>
  <c r="H175" i="4"/>
  <c r="H172" i="4"/>
  <c r="H171" i="4"/>
  <c r="H170" i="4"/>
  <c r="H169" i="4"/>
  <c r="H168" i="4"/>
  <c r="H167" i="4"/>
  <c r="H166" i="4"/>
  <c r="H165" i="4"/>
  <c r="H164" i="4"/>
  <c r="H163" i="4"/>
  <c r="H161" i="4"/>
  <c r="H160" i="4"/>
  <c r="H159" i="4"/>
  <c r="H158" i="4"/>
  <c r="H157" i="4"/>
  <c r="H156" i="4"/>
  <c r="H155" i="4"/>
  <c r="H154" i="4"/>
  <c r="H152" i="4"/>
  <c r="H151" i="4"/>
  <c r="H150" i="4"/>
  <c r="H149" i="4"/>
  <c r="H148" i="4"/>
  <c r="H147" i="4"/>
  <c r="H146" i="4"/>
  <c r="H145" i="4"/>
  <c r="H144" i="4"/>
  <c r="V136" i="4"/>
  <c r="V134" i="4"/>
  <c r="V132" i="4"/>
  <c r="R136" i="4"/>
  <c r="R134" i="4"/>
  <c r="R132" i="4"/>
  <c r="N141" i="4"/>
  <c r="N140" i="4"/>
  <c r="N139" i="4"/>
  <c r="N134" i="4"/>
  <c r="N132" i="4"/>
  <c r="N130" i="4"/>
  <c r="I140" i="4"/>
  <c r="I138" i="4"/>
  <c r="I136" i="4"/>
  <c r="E136" i="4"/>
  <c r="E134" i="4"/>
  <c r="E132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7" i="4"/>
  <c r="Q66" i="4"/>
  <c r="Q65" i="4"/>
  <c r="Q64" i="4"/>
  <c r="Q62" i="4"/>
  <c r="Q61" i="4"/>
  <c r="Q60" i="4"/>
  <c r="Q58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4" i="4"/>
  <c r="Q33" i="4"/>
  <c r="Q32" i="4"/>
  <c r="Q31" i="4"/>
  <c r="Q30" i="4"/>
  <c r="Q29" i="4"/>
  <c r="Q28" i="4"/>
  <c r="Q27" i="4"/>
  <c r="Q26" i="4"/>
  <c r="I106" i="4"/>
  <c r="I105" i="4"/>
  <c r="I104" i="4"/>
  <c r="I102" i="4"/>
  <c r="I101" i="4"/>
  <c r="I100" i="4"/>
  <c r="I98" i="4"/>
  <c r="I97" i="4"/>
  <c r="I96" i="4"/>
  <c r="I94" i="4"/>
  <c r="I93" i="4"/>
  <c r="I92" i="4"/>
  <c r="I90" i="4"/>
  <c r="I89" i="4"/>
  <c r="I88" i="4"/>
  <c r="I85" i="4"/>
  <c r="I84" i="4"/>
  <c r="I83" i="4"/>
  <c r="I82" i="4"/>
  <c r="I81" i="4"/>
  <c r="I80" i="4"/>
  <c r="I79" i="4"/>
  <c r="I78" i="4"/>
  <c r="I77" i="4"/>
  <c r="I76" i="4"/>
  <c r="I75" i="4"/>
  <c r="I73" i="4"/>
  <c r="I72" i="4"/>
  <c r="I71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4" i="4"/>
  <c r="I33" i="4"/>
  <c r="I32" i="4"/>
  <c r="I31" i="4"/>
  <c r="I30" i="4"/>
  <c r="I29" i="4"/>
  <c r="I28" i="4"/>
  <c r="I27" i="4"/>
  <c r="I26" i="4"/>
  <c r="N22" i="4"/>
  <c r="N21" i="4"/>
  <c r="N20" i="4"/>
  <c r="N15" i="4"/>
  <c r="N13" i="4"/>
  <c r="N11" i="4"/>
  <c r="F17" i="4"/>
  <c r="F15" i="4"/>
  <c r="F13" i="4"/>
  <c r="Q382" i="4"/>
  <c r="Q381" i="4"/>
  <c r="Q380" i="4"/>
  <c r="Q379" i="4"/>
  <c r="Q378" i="4"/>
  <c r="Q377" i="4"/>
  <c r="Q376" i="4"/>
  <c r="Q375" i="4"/>
  <c r="Q374" i="4"/>
  <c r="Q373" i="4"/>
  <c r="Q372" i="4"/>
  <c r="Q371" i="4"/>
  <c r="Q370" i="4"/>
  <c r="Q369" i="4"/>
  <c r="Q368" i="4"/>
  <c r="Q367" i="4"/>
  <c r="Q366" i="4"/>
  <c r="Q365" i="4"/>
  <c r="Q364" i="4"/>
  <c r="Q363" i="4"/>
  <c r="Q362" i="4"/>
  <c r="Q358" i="4"/>
  <c r="Q357" i="4"/>
  <c r="Q356" i="4"/>
  <c r="Q355" i="4"/>
  <c r="Q354" i="4"/>
  <c r="L354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2" i="4"/>
  <c r="L381" i="4"/>
  <c r="L379" i="4"/>
  <c r="L378" i="4"/>
  <c r="L376" i="4"/>
  <c r="L375" i="4"/>
  <c r="L374" i="4"/>
  <c r="L373" i="4"/>
  <c r="L372" i="4"/>
  <c r="L371" i="4"/>
  <c r="L370" i="4"/>
  <c r="L369" i="4"/>
  <c r="L368" i="4"/>
  <c r="L367" i="4"/>
  <c r="L365" i="4"/>
  <c r="L364" i="4"/>
  <c r="L363" i="4"/>
  <c r="L362" i="4"/>
  <c r="L361" i="4"/>
  <c r="L360" i="4"/>
  <c r="L359" i="4"/>
  <c r="L357" i="4"/>
  <c r="L356" i="4"/>
  <c r="L355" i="4"/>
  <c r="F410" i="4"/>
  <c r="F409" i="4"/>
  <c r="F408" i="4"/>
  <c r="F407" i="4"/>
  <c r="F406" i="4"/>
  <c r="F405" i="4"/>
  <c r="F404" i="4"/>
  <c r="F403" i="4"/>
  <c r="F401" i="4"/>
  <c r="F400" i="4"/>
  <c r="F399" i="4"/>
  <c r="F398" i="4"/>
  <c r="F397" i="4"/>
  <c r="F396" i="4"/>
  <c r="F395" i="4"/>
  <c r="F394" i="4"/>
  <c r="F393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2" i="4"/>
  <c r="F371" i="4"/>
  <c r="F370" i="4"/>
  <c r="F369" i="4"/>
  <c r="F368" i="4"/>
  <c r="F367" i="4"/>
  <c r="F366" i="4"/>
  <c r="F365" i="4"/>
  <c r="F364" i="4"/>
  <c r="F362" i="4"/>
  <c r="F361" i="4"/>
  <c r="F360" i="4"/>
  <c r="F359" i="4"/>
  <c r="F358" i="4"/>
  <c r="F357" i="4"/>
  <c r="F356" i="4"/>
  <c r="F355" i="4"/>
  <c r="F354" i="4"/>
  <c r="R346" i="4"/>
  <c r="R344" i="4"/>
  <c r="R342" i="4"/>
  <c r="N342" i="4"/>
  <c r="N346" i="4"/>
  <c r="N344" i="4"/>
  <c r="K344" i="4"/>
  <c r="K342" i="4"/>
  <c r="K340" i="4"/>
  <c r="I344" i="4"/>
  <c r="I342" i="4"/>
  <c r="I340" i="4"/>
  <c r="C346" i="4"/>
  <c r="C344" i="4"/>
  <c r="C342" i="4"/>
  <c r="J33" i="3"/>
  <c r="J32" i="3"/>
  <c r="J31" i="3"/>
  <c r="J30" i="3"/>
  <c r="J29" i="3"/>
  <c r="J28" i="3"/>
  <c r="J22" i="3"/>
  <c r="J21" i="3"/>
  <c r="J20" i="3"/>
  <c r="S314" i="2" l="1"/>
  <c r="S313" i="2"/>
  <c r="S311" i="2"/>
  <c r="S310" i="2"/>
  <c r="N383" i="2"/>
  <c r="N381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49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8" i="2"/>
  <c r="N326" i="2"/>
  <c r="N325" i="2"/>
  <c r="N324" i="2"/>
  <c r="N321" i="2"/>
  <c r="N320" i="2"/>
  <c r="N319" i="2"/>
  <c r="N318" i="2"/>
  <c r="N317" i="2"/>
  <c r="N316" i="2"/>
  <c r="N315" i="2"/>
  <c r="N314" i="2"/>
  <c r="N313" i="2"/>
  <c r="N312" i="2"/>
  <c r="N310" i="2"/>
  <c r="I368" i="2"/>
  <c r="I367" i="2"/>
  <c r="I366" i="2"/>
  <c r="I365" i="2"/>
  <c r="I364" i="2"/>
  <c r="I362" i="2"/>
  <c r="I361" i="2"/>
  <c r="I360" i="2"/>
  <c r="I359" i="2"/>
  <c r="I358" i="2"/>
  <c r="I357" i="2"/>
  <c r="I356" i="2"/>
  <c r="I355" i="2"/>
  <c r="I354" i="2"/>
  <c r="I353" i="2"/>
  <c r="I351" i="2"/>
  <c r="I349" i="2"/>
  <c r="I348" i="2"/>
  <c r="I347" i="2"/>
  <c r="I346" i="2"/>
  <c r="I343" i="2"/>
  <c r="I342" i="2"/>
  <c r="I341" i="2"/>
  <c r="I340" i="2"/>
  <c r="I339" i="2"/>
  <c r="I338" i="2"/>
  <c r="I337" i="2"/>
  <c r="I336" i="2"/>
  <c r="I335" i="2"/>
  <c r="I334" i="2"/>
  <c r="I332" i="2"/>
  <c r="I331" i="2"/>
  <c r="I330" i="2"/>
  <c r="I329" i="2"/>
  <c r="I328" i="2"/>
  <c r="I327" i="2"/>
  <c r="I326" i="2"/>
  <c r="I325" i="2"/>
  <c r="I323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M299" i="2"/>
  <c r="M298" i="2"/>
  <c r="M295" i="2"/>
  <c r="M294" i="2"/>
  <c r="I306" i="2"/>
  <c r="I304" i="2"/>
  <c r="I302" i="2"/>
  <c r="I300" i="2"/>
  <c r="I298" i="2"/>
  <c r="S220" i="2" l="1"/>
  <c r="S219" i="2"/>
  <c r="S217" i="2"/>
  <c r="S216" i="2"/>
  <c r="N289" i="2"/>
  <c r="N287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5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4" i="2"/>
  <c r="N232" i="2"/>
  <c r="N231" i="2"/>
  <c r="N230" i="2"/>
  <c r="N227" i="2"/>
  <c r="N226" i="2"/>
  <c r="N225" i="2"/>
  <c r="N224" i="2"/>
  <c r="N223" i="2"/>
  <c r="N222" i="2"/>
  <c r="N221" i="2"/>
  <c r="N220" i="2"/>
  <c r="N219" i="2"/>
  <c r="N218" i="2"/>
  <c r="N216" i="2"/>
  <c r="I273" i="2"/>
  <c r="I272" i="2"/>
  <c r="I271" i="2"/>
  <c r="I270" i="2"/>
  <c r="I269" i="2"/>
  <c r="I267" i="2"/>
  <c r="I266" i="2"/>
  <c r="I265" i="2"/>
  <c r="I264" i="2"/>
  <c r="I263" i="2"/>
  <c r="I262" i="2"/>
  <c r="I261" i="2"/>
  <c r="I260" i="2"/>
  <c r="I259" i="2"/>
  <c r="I258" i="2"/>
  <c r="I256" i="2"/>
  <c r="I254" i="2"/>
  <c r="I253" i="2"/>
  <c r="I252" i="2"/>
  <c r="I251" i="2"/>
  <c r="I248" i="2"/>
  <c r="I247" i="2"/>
  <c r="I246" i="2"/>
  <c r="I245" i="2"/>
  <c r="I244" i="2"/>
  <c r="I243" i="2"/>
  <c r="I242" i="2"/>
  <c r="I241" i="2"/>
  <c r="I240" i="2"/>
  <c r="I239" i="2"/>
  <c r="I237" i="2"/>
  <c r="I236" i="2"/>
  <c r="I235" i="2"/>
  <c r="I234" i="2"/>
  <c r="I233" i="2"/>
  <c r="I232" i="2"/>
  <c r="I231" i="2"/>
  <c r="I230" i="2"/>
  <c r="I228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199" i="2"/>
  <c r="S124" i="2"/>
  <c r="S123" i="2"/>
  <c r="S121" i="2"/>
  <c r="S120" i="2"/>
  <c r="N193" i="2"/>
  <c r="N191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59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8" i="2"/>
  <c r="N136" i="2"/>
  <c r="N135" i="2"/>
  <c r="N134" i="2"/>
  <c r="N131" i="2"/>
  <c r="N130" i="2"/>
  <c r="N129" i="2"/>
  <c r="N128" i="2"/>
  <c r="N127" i="2"/>
  <c r="N126" i="2"/>
  <c r="N125" i="2"/>
  <c r="N124" i="2"/>
  <c r="N123" i="2"/>
  <c r="N122" i="2"/>
  <c r="I178" i="2"/>
  <c r="I177" i="2"/>
  <c r="I176" i="2"/>
  <c r="I175" i="2"/>
  <c r="I174" i="2"/>
  <c r="I172" i="2"/>
  <c r="I171" i="2"/>
  <c r="I170" i="2"/>
  <c r="I169" i="2"/>
  <c r="I168" i="2"/>
  <c r="I167" i="2"/>
  <c r="I166" i="2"/>
  <c r="I165" i="2"/>
  <c r="I164" i="2"/>
  <c r="I163" i="2"/>
  <c r="I161" i="2"/>
  <c r="I159" i="2"/>
  <c r="I158" i="2"/>
  <c r="I157" i="2"/>
  <c r="I156" i="2"/>
  <c r="I153" i="2"/>
  <c r="I152" i="2"/>
  <c r="I151" i="2"/>
  <c r="I150" i="2"/>
  <c r="I149" i="2"/>
  <c r="I148" i="2"/>
  <c r="I147" i="2"/>
  <c r="I146" i="2"/>
  <c r="I145" i="2"/>
  <c r="I144" i="2"/>
  <c r="I142" i="2"/>
  <c r="I141" i="2"/>
  <c r="I140" i="2"/>
  <c r="I139" i="2"/>
  <c r="I138" i="2"/>
  <c r="I137" i="2"/>
  <c r="I136" i="2"/>
  <c r="I135" i="2"/>
  <c r="I133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M110" i="2"/>
  <c r="M109" i="2"/>
  <c r="M106" i="2"/>
  <c r="M105" i="2"/>
  <c r="N120" i="2"/>
  <c r="I116" i="2"/>
  <c r="I114" i="2"/>
  <c r="I112" i="2"/>
  <c r="I110" i="2"/>
  <c r="I108" i="2"/>
  <c r="S29" i="2"/>
  <c r="S28" i="2"/>
  <c r="S26" i="2"/>
  <c r="S25" i="2"/>
  <c r="N98" i="2"/>
  <c r="N96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4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3" i="2"/>
  <c r="N41" i="2"/>
  <c r="N40" i="2"/>
  <c r="N39" i="2"/>
  <c r="N36" i="2"/>
  <c r="N35" i="2"/>
  <c r="N34" i="2"/>
  <c r="N33" i="2"/>
  <c r="N32" i="2"/>
  <c r="N31" i="2"/>
  <c r="N30" i="2"/>
  <c r="N29" i="2"/>
  <c r="N28" i="2"/>
  <c r="N27" i="2"/>
  <c r="N25" i="2"/>
  <c r="I83" i="2"/>
  <c r="I82" i="2"/>
  <c r="I81" i="2"/>
  <c r="I80" i="2"/>
  <c r="I79" i="2"/>
  <c r="I77" i="2"/>
  <c r="I76" i="2"/>
  <c r="I75" i="2"/>
  <c r="I74" i="2"/>
  <c r="I73" i="2"/>
  <c r="I72" i="2"/>
  <c r="I71" i="2"/>
  <c r="I70" i="2"/>
  <c r="I69" i="2"/>
  <c r="I68" i="2"/>
  <c r="I66" i="2"/>
  <c r="I64" i="2"/>
  <c r="I63" i="2"/>
  <c r="I62" i="2"/>
  <c r="I61" i="2"/>
  <c r="I58" i="2"/>
  <c r="I57" i="2"/>
  <c r="I56" i="2"/>
  <c r="I55" i="2"/>
  <c r="I54" i="2"/>
  <c r="I53" i="2"/>
  <c r="I52" i="2"/>
  <c r="I51" i="2"/>
  <c r="I50" i="2"/>
  <c r="I49" i="2"/>
  <c r="I47" i="2"/>
  <c r="I46" i="2"/>
  <c r="I45" i="2"/>
  <c r="I44" i="2"/>
  <c r="I43" i="2"/>
  <c r="I42" i="2"/>
  <c r="I41" i="2"/>
  <c r="I40" i="2"/>
  <c r="I38" i="2"/>
  <c r="I36" i="2"/>
  <c r="I35" i="2"/>
  <c r="I34" i="2"/>
  <c r="I33" i="2"/>
  <c r="I32" i="2"/>
  <c r="I31" i="2"/>
  <c r="I30" i="2"/>
  <c r="I29" i="2"/>
  <c r="I28" i="2"/>
  <c r="I27" i="2"/>
  <c r="I26" i="2"/>
  <c r="I25" i="2"/>
  <c r="I281" i="1"/>
  <c r="I280" i="1"/>
  <c r="I279" i="1"/>
  <c r="I278" i="1"/>
  <c r="I277" i="1"/>
  <c r="I276" i="1"/>
  <c r="I275" i="1"/>
  <c r="I274" i="1"/>
  <c r="I273" i="1"/>
  <c r="I271" i="1"/>
  <c r="I270" i="1"/>
  <c r="I269" i="1"/>
  <c r="I268" i="1"/>
  <c r="I267" i="1"/>
  <c r="I266" i="1"/>
  <c r="I265" i="1"/>
  <c r="I264" i="1"/>
  <c r="I263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1" i="1"/>
  <c r="O250" i="1"/>
  <c r="O248" i="1"/>
  <c r="O247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S215" i="1"/>
  <c r="S213" i="1"/>
  <c r="S211" i="1"/>
  <c r="S209" i="1"/>
  <c r="S207" i="1"/>
  <c r="S205" i="1"/>
  <c r="S203" i="1"/>
  <c r="O207" i="1"/>
  <c r="O203" i="1"/>
  <c r="K215" i="1"/>
  <c r="K213" i="1"/>
  <c r="K211" i="1"/>
  <c r="K209" i="1"/>
  <c r="K207" i="1"/>
  <c r="K203" i="1"/>
  <c r="S123" i="1"/>
  <c r="S122" i="1"/>
  <c r="I180" i="1"/>
  <c r="I179" i="1"/>
  <c r="I178" i="1"/>
  <c r="I177" i="1"/>
  <c r="I176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O110" i="1"/>
  <c r="O106" i="1"/>
  <c r="K118" i="1"/>
  <c r="K116" i="1"/>
  <c r="K114" i="1"/>
  <c r="K112" i="1"/>
  <c r="K110" i="1"/>
  <c r="K106" i="1"/>
  <c r="S26" i="1"/>
  <c r="S27" i="1"/>
  <c r="N26" i="1"/>
  <c r="N28" i="1"/>
  <c r="N30" i="1"/>
  <c r="N31" i="1"/>
  <c r="N33" i="1"/>
  <c r="N34" i="1"/>
  <c r="N35" i="1"/>
  <c r="N36" i="1"/>
  <c r="N37" i="1"/>
  <c r="N40" i="1"/>
  <c r="N41" i="1"/>
  <c r="N42" i="1"/>
  <c r="N44" i="1"/>
  <c r="N45" i="1"/>
  <c r="N46" i="1"/>
  <c r="N47" i="1"/>
  <c r="N48" i="1"/>
  <c r="N49" i="1"/>
  <c r="N50" i="1"/>
  <c r="N51" i="1"/>
  <c r="N54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6" i="1"/>
  <c r="N97" i="1"/>
  <c r="N98" i="1"/>
  <c r="N99" i="1"/>
  <c r="P14" i="1"/>
  <c r="P106" i="13"/>
  <c r="P107" i="13" s="1"/>
  <c r="P108" i="13" s="1"/>
  <c r="P109" i="13" s="1"/>
  <c r="P110" i="13" s="1"/>
  <c r="P111" i="13" s="1"/>
  <c r="P112" i="13" s="1"/>
  <c r="P113" i="13" s="1"/>
  <c r="P114" i="13" s="1"/>
  <c r="P115" i="13" s="1"/>
  <c r="P116" i="13" s="1"/>
  <c r="P117" i="13" s="1"/>
  <c r="P118" i="13" s="1"/>
  <c r="P119" i="13" s="1"/>
  <c r="P120" i="13" s="1"/>
  <c r="P121" i="13" s="1"/>
  <c r="P122" i="13" s="1"/>
  <c r="P123" i="13" s="1"/>
  <c r="P124" i="13" s="1"/>
  <c r="P37" i="13"/>
  <c r="P38" i="13" s="1"/>
  <c r="P39" i="13" s="1"/>
  <c r="P40" i="13" s="1"/>
  <c r="P41" i="13" s="1"/>
  <c r="P42" i="13" s="1"/>
  <c r="P43" i="13" s="1"/>
  <c r="P44" i="13" s="1"/>
  <c r="P45" i="13" s="1"/>
  <c r="P46" i="13" s="1"/>
  <c r="P47" i="13" s="1"/>
  <c r="P48" i="13" s="1"/>
  <c r="P49" i="13" s="1"/>
  <c r="P50" i="13" s="1"/>
  <c r="P51" i="13" s="1"/>
  <c r="P52" i="13" s="1"/>
  <c r="P53" i="13" s="1"/>
  <c r="P54" i="13" s="1"/>
  <c r="P55" i="13" s="1"/>
  <c r="A318" i="12"/>
  <c r="A305" i="12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I299" i="12"/>
  <c r="I300" i="12" s="1"/>
  <c r="I301" i="12" s="1"/>
  <c r="I302" i="12" s="1"/>
  <c r="I303" i="12" s="1"/>
  <c r="I304" i="12" s="1"/>
  <c r="I305" i="12" s="1"/>
  <c r="I306" i="12" s="1"/>
  <c r="I307" i="12" s="1"/>
  <c r="I308" i="12" s="1"/>
  <c r="I309" i="12" s="1"/>
  <c r="I310" i="12" s="1"/>
  <c r="I311" i="12" s="1"/>
  <c r="I312" i="12" s="1"/>
  <c r="I285" i="12"/>
  <c r="I286" i="12" s="1"/>
  <c r="I287" i="12" s="1"/>
  <c r="I288" i="12" s="1"/>
  <c r="I289" i="12" s="1"/>
  <c r="I290" i="12" s="1"/>
  <c r="I291" i="12" s="1"/>
  <c r="I292" i="12" s="1"/>
  <c r="I293" i="12" s="1"/>
  <c r="I294" i="12" s="1"/>
  <c r="I295" i="12" s="1"/>
  <c r="I296" i="12" s="1"/>
  <c r="I297" i="12" s="1"/>
  <c r="I283" i="12"/>
  <c r="A276" i="12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I275" i="12"/>
  <c r="I276" i="12" s="1"/>
  <c r="I277" i="12" s="1"/>
  <c r="I278" i="12" s="1"/>
  <c r="I279" i="12" s="1"/>
  <c r="I280" i="12" s="1"/>
  <c r="I281" i="12" s="1"/>
  <c r="N273" i="12"/>
  <c r="N274" i="12" s="1"/>
  <c r="N275" i="12" s="1"/>
  <c r="N276" i="12" s="1"/>
  <c r="N277" i="12" s="1"/>
  <c r="N278" i="12" s="1"/>
  <c r="N279" i="12" s="1"/>
  <c r="N280" i="12" s="1"/>
  <c r="I269" i="12"/>
  <c r="I270" i="12" s="1"/>
  <c r="I271" i="12" s="1"/>
  <c r="I272" i="12" s="1"/>
  <c r="I273" i="12" s="1"/>
  <c r="A269" i="12"/>
  <c r="A270" i="12" s="1"/>
  <c r="A271" i="12" s="1"/>
  <c r="A272" i="12" s="1"/>
  <c r="A256" i="12"/>
  <c r="A243" i="12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I237" i="12"/>
  <c r="I238" i="12" s="1"/>
  <c r="I239" i="12" s="1"/>
  <c r="I240" i="12" s="1"/>
  <c r="I241" i="12" s="1"/>
  <c r="I242" i="12" s="1"/>
  <c r="I243" i="12" s="1"/>
  <c r="I244" i="12" s="1"/>
  <c r="I245" i="12" s="1"/>
  <c r="I246" i="12" s="1"/>
  <c r="I247" i="12" s="1"/>
  <c r="I248" i="12" s="1"/>
  <c r="I249" i="12" s="1"/>
  <c r="I250" i="12" s="1"/>
  <c r="I223" i="12"/>
  <c r="I224" i="12" s="1"/>
  <c r="I225" i="12" s="1"/>
  <c r="I226" i="12" s="1"/>
  <c r="I227" i="12" s="1"/>
  <c r="I228" i="12" s="1"/>
  <c r="I229" i="12" s="1"/>
  <c r="I230" i="12" s="1"/>
  <c r="I231" i="12" s="1"/>
  <c r="I232" i="12" s="1"/>
  <c r="I233" i="12" s="1"/>
  <c r="I234" i="12" s="1"/>
  <c r="I235" i="12" s="1"/>
  <c r="I221" i="12"/>
  <c r="A214" i="12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I213" i="12"/>
  <c r="I214" i="12" s="1"/>
  <c r="I215" i="12" s="1"/>
  <c r="I216" i="12" s="1"/>
  <c r="I217" i="12" s="1"/>
  <c r="I218" i="12" s="1"/>
  <c r="I219" i="12" s="1"/>
  <c r="N212" i="12"/>
  <c r="N213" i="12" s="1"/>
  <c r="N214" i="12" s="1"/>
  <c r="N215" i="12" s="1"/>
  <c r="N216" i="12" s="1"/>
  <c r="N217" i="12" s="1"/>
  <c r="N218" i="12" s="1"/>
  <c r="N211" i="12"/>
  <c r="I207" i="12"/>
  <c r="I208" i="12" s="1"/>
  <c r="I209" i="12" s="1"/>
  <c r="I210" i="12" s="1"/>
  <c r="I211" i="12" s="1"/>
  <c r="A207" i="12"/>
  <c r="A208" i="12" s="1"/>
  <c r="A209" i="12" s="1"/>
  <c r="A210" i="12" s="1"/>
  <c r="D75" i="12" l="1"/>
  <c r="D73" i="12"/>
  <c r="A129" i="12"/>
  <c r="A116" i="12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I110" i="12"/>
  <c r="I111" i="12" s="1"/>
  <c r="I112" i="12" s="1"/>
  <c r="I113" i="12" s="1"/>
  <c r="I114" i="12" s="1"/>
  <c r="I115" i="12" s="1"/>
  <c r="I116" i="12" s="1"/>
  <c r="I117" i="12" s="1"/>
  <c r="I118" i="12" s="1"/>
  <c r="I119" i="12" s="1"/>
  <c r="I120" i="12" s="1"/>
  <c r="I121" i="12" s="1"/>
  <c r="I122" i="12" s="1"/>
  <c r="I123" i="12" s="1"/>
  <c r="I96" i="12"/>
  <c r="I97" i="12" s="1"/>
  <c r="I98" i="12" s="1"/>
  <c r="I99" i="12" s="1"/>
  <c r="I100" i="12" s="1"/>
  <c r="I101" i="12" s="1"/>
  <c r="I102" i="12" s="1"/>
  <c r="I103" i="12" s="1"/>
  <c r="I104" i="12" s="1"/>
  <c r="I105" i="12" s="1"/>
  <c r="I106" i="12" s="1"/>
  <c r="I107" i="12" s="1"/>
  <c r="I108" i="12" s="1"/>
  <c r="I94" i="12"/>
  <c r="A87" i="12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I86" i="12"/>
  <c r="I87" i="12" s="1"/>
  <c r="I88" i="12" s="1"/>
  <c r="I89" i="12" s="1"/>
  <c r="I90" i="12" s="1"/>
  <c r="I91" i="12" s="1"/>
  <c r="I92" i="12" s="1"/>
  <c r="N84" i="12"/>
  <c r="N85" i="12" s="1"/>
  <c r="N86" i="12" s="1"/>
  <c r="N87" i="12" s="1"/>
  <c r="N88" i="12" s="1"/>
  <c r="N89" i="12" s="1"/>
  <c r="N90" i="12" s="1"/>
  <c r="N91" i="12" s="1"/>
  <c r="I80" i="12"/>
  <c r="I81" i="12" s="1"/>
  <c r="I82" i="12" s="1"/>
  <c r="I83" i="12" s="1"/>
  <c r="I84" i="12" s="1"/>
  <c r="A80" i="12"/>
  <c r="A81" i="12" s="1"/>
  <c r="A82" i="12" s="1"/>
  <c r="A83" i="12" s="1"/>
  <c r="K73" i="12" l="1"/>
  <c r="F73" i="12"/>
  <c r="K75" i="12"/>
  <c r="F75" i="12"/>
  <c r="H355" i="9"/>
  <c r="H354" i="9"/>
  <c r="H353" i="9"/>
  <c r="H350" i="9"/>
  <c r="H349" i="9"/>
  <c r="H348" i="9"/>
  <c r="H347" i="9"/>
  <c r="H346" i="9"/>
  <c r="H345" i="9"/>
  <c r="H344" i="9"/>
  <c r="H343" i="9"/>
  <c r="H342" i="9"/>
  <c r="H341" i="9"/>
  <c r="H340" i="9"/>
  <c r="H339" i="9"/>
  <c r="H336" i="9"/>
  <c r="H334" i="9"/>
  <c r="H332" i="9"/>
  <c r="H331" i="9"/>
  <c r="H330" i="9"/>
  <c r="H329" i="9"/>
  <c r="H327" i="9"/>
  <c r="H326" i="9"/>
  <c r="H325" i="9"/>
  <c r="H322" i="9"/>
  <c r="H321" i="9"/>
  <c r="H320" i="9"/>
  <c r="H318" i="9"/>
  <c r="H317" i="9"/>
  <c r="H316" i="9"/>
  <c r="H315" i="9"/>
  <c r="H314" i="9"/>
  <c r="H313" i="9"/>
  <c r="H312" i="9"/>
  <c r="H311" i="9"/>
  <c r="H310" i="9"/>
  <c r="H309" i="9"/>
  <c r="H308" i="9"/>
  <c r="H307" i="9"/>
  <c r="H306" i="9"/>
  <c r="H305" i="9"/>
  <c r="H304" i="9"/>
  <c r="H302" i="9"/>
  <c r="H301" i="9"/>
  <c r="H300" i="9"/>
  <c r="H299" i="9"/>
  <c r="A194" i="12" l="1"/>
  <c r="A181" i="12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I175" i="12"/>
  <c r="I176" i="12" s="1"/>
  <c r="I177" i="12" s="1"/>
  <c r="I178" i="12" s="1"/>
  <c r="I179" i="12" s="1"/>
  <c r="I180" i="12" s="1"/>
  <c r="I181" i="12" s="1"/>
  <c r="I182" i="12" s="1"/>
  <c r="I183" i="12" s="1"/>
  <c r="I184" i="12" s="1"/>
  <c r="I185" i="12" s="1"/>
  <c r="I186" i="12" s="1"/>
  <c r="I187" i="12" s="1"/>
  <c r="I188" i="12" s="1"/>
  <c r="I161" i="12"/>
  <c r="I162" i="12" s="1"/>
  <c r="I163" i="12" s="1"/>
  <c r="I164" i="12" s="1"/>
  <c r="I165" i="12" s="1"/>
  <c r="I166" i="12" s="1"/>
  <c r="I167" i="12" s="1"/>
  <c r="I168" i="12" s="1"/>
  <c r="I169" i="12" s="1"/>
  <c r="I170" i="12" s="1"/>
  <c r="I171" i="12" s="1"/>
  <c r="I172" i="12" s="1"/>
  <c r="I173" i="12" s="1"/>
  <c r="I159" i="12"/>
  <c r="A152" i="12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I151" i="12"/>
  <c r="I152" i="12" s="1"/>
  <c r="I153" i="12" s="1"/>
  <c r="I154" i="12" s="1"/>
  <c r="I155" i="12" s="1"/>
  <c r="I156" i="12" s="1"/>
  <c r="I157" i="12" s="1"/>
  <c r="I145" i="12"/>
  <c r="I146" i="12" s="1"/>
  <c r="I147" i="12" s="1"/>
  <c r="I148" i="12" s="1"/>
  <c r="I149" i="12" s="1"/>
  <c r="A145" i="12"/>
  <c r="A146" i="12" s="1"/>
  <c r="A147" i="12" s="1"/>
  <c r="A148" i="12" s="1"/>
  <c r="B63" i="12" l="1"/>
  <c r="B50" i="12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J44" i="12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30" i="12"/>
  <c r="J31" i="12" s="1"/>
  <c r="J32" i="12" s="1"/>
  <c r="J33" i="12" s="1"/>
  <c r="J34" i="12" s="1"/>
  <c r="J35" i="12" s="1"/>
  <c r="J36" i="12" s="1"/>
  <c r="J37" i="12" s="1"/>
  <c r="J42" i="12" s="1"/>
  <c r="J28" i="12"/>
  <c r="B21" i="12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J20" i="12"/>
  <c r="J21" i="12" s="1"/>
  <c r="J22" i="12" s="1"/>
  <c r="J23" i="12" s="1"/>
  <c r="J24" i="12" s="1"/>
  <c r="J25" i="12" s="1"/>
  <c r="J26" i="12" s="1"/>
  <c r="O18" i="12"/>
  <c r="O19" i="12" s="1"/>
  <c r="O20" i="12" s="1"/>
  <c r="O21" i="12" s="1"/>
  <c r="O22" i="12" s="1"/>
  <c r="O23" i="12" s="1"/>
  <c r="O24" i="12" s="1"/>
  <c r="O25" i="12" s="1"/>
  <c r="J14" i="12"/>
  <c r="J15" i="12" s="1"/>
  <c r="J16" i="12" s="1"/>
  <c r="J17" i="12" s="1"/>
  <c r="J18" i="12" s="1"/>
  <c r="B14" i="12"/>
  <c r="B15" i="12" s="1"/>
  <c r="B16" i="12" s="1"/>
  <c r="B17" i="12" s="1"/>
  <c r="N247" i="4"/>
  <c r="M7" i="7"/>
  <c r="N7" i="7" s="1"/>
  <c r="I191" i="5"/>
  <c r="E190" i="5"/>
  <c r="E189" i="5"/>
  <c r="E19" i="5"/>
  <c r="E18" i="5"/>
  <c r="R241" i="4"/>
  <c r="R239" i="4"/>
  <c r="R237" i="4"/>
  <c r="N249" i="4"/>
  <c r="N245" i="4"/>
  <c r="L244" i="4"/>
  <c r="L243" i="4"/>
  <c r="L242" i="4"/>
  <c r="H243" i="4"/>
  <c r="H239" i="4"/>
  <c r="D239" i="4"/>
  <c r="D237" i="4"/>
  <c r="D235" i="4"/>
  <c r="M141" i="4"/>
  <c r="M140" i="4"/>
  <c r="M139" i="4"/>
  <c r="H140" i="4"/>
  <c r="H138" i="4"/>
  <c r="H136" i="4"/>
  <c r="U136" i="4"/>
  <c r="U134" i="4"/>
  <c r="U132" i="4"/>
  <c r="Q136" i="4"/>
  <c r="Q134" i="4"/>
  <c r="Q132" i="4"/>
  <c r="D136" i="4"/>
  <c r="D134" i="4"/>
  <c r="D132" i="4"/>
  <c r="L299" i="2"/>
  <c r="L298" i="2"/>
  <c r="L295" i="2"/>
  <c r="L294" i="2"/>
  <c r="H306" i="2"/>
  <c r="H304" i="2"/>
  <c r="H300" i="2"/>
  <c r="H302" i="2"/>
  <c r="H298" i="2"/>
  <c r="H201" i="2"/>
  <c r="H199" i="2"/>
  <c r="L110" i="2"/>
  <c r="L109" i="2"/>
  <c r="L106" i="2"/>
  <c r="L105" i="2"/>
  <c r="H116" i="2"/>
  <c r="H114" i="2"/>
  <c r="H112" i="2"/>
  <c r="H110" i="2"/>
  <c r="H108" i="2"/>
  <c r="H11" i="2"/>
  <c r="H9" i="2"/>
  <c r="Q17" i="4"/>
  <c r="Q15" i="4"/>
  <c r="Q13" i="4"/>
  <c r="M22" i="4"/>
  <c r="M21" i="4"/>
  <c r="M20" i="4"/>
  <c r="E17" i="4"/>
  <c r="E15" i="4"/>
  <c r="E13" i="4"/>
  <c r="H15" i="8"/>
  <c r="H13" i="8"/>
  <c r="N110" i="1"/>
  <c r="N106" i="1"/>
  <c r="O14" i="1"/>
  <c r="O10" i="1"/>
  <c r="J22" i="1"/>
  <c r="J118" i="1"/>
  <c r="J116" i="1"/>
  <c r="J114" i="1"/>
  <c r="J112" i="1"/>
  <c r="J110" i="1"/>
  <c r="J108" i="1"/>
  <c r="J106" i="1"/>
  <c r="J20" i="1"/>
  <c r="J18" i="1"/>
  <c r="J16" i="1"/>
  <c r="J14" i="1"/>
  <c r="J10" i="1"/>
  <c r="H20" i="8"/>
  <c r="H76" i="8"/>
  <c r="H75" i="8"/>
  <c r="H74" i="8"/>
  <c r="H73" i="8"/>
  <c r="H21" i="8"/>
  <c r="M76" i="7"/>
  <c r="O311" i="5"/>
  <c r="O310" i="5"/>
  <c r="O309" i="5"/>
  <c r="O308" i="5"/>
  <c r="O307" i="5"/>
  <c r="O306" i="5"/>
  <c r="O305" i="5"/>
  <c r="O304" i="5"/>
  <c r="O303" i="5"/>
  <c r="O302" i="5"/>
  <c r="O301" i="5"/>
  <c r="O300" i="5"/>
  <c r="O299" i="5"/>
  <c r="O298" i="5"/>
  <c r="O297" i="5"/>
  <c r="O296" i="5"/>
  <c r="H88" i="1"/>
  <c r="H87" i="1"/>
  <c r="H86" i="1"/>
  <c r="H85" i="1"/>
  <c r="H84" i="1"/>
  <c r="H83" i="1"/>
  <c r="H82" i="1"/>
  <c r="H81" i="1"/>
  <c r="H80" i="1"/>
  <c r="H73" i="1"/>
  <c r="H72" i="1"/>
  <c r="H71" i="1"/>
  <c r="H70" i="1"/>
  <c r="H69" i="1"/>
  <c r="H68" i="1"/>
  <c r="H67" i="1"/>
  <c r="H65" i="1"/>
  <c r="H64" i="1"/>
  <c r="H63" i="1"/>
  <c r="H62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/>
  <c r="H29" i="1"/>
  <c r="H28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H27" i="1"/>
  <c r="A27" i="1"/>
  <c r="H26" i="1"/>
  <c r="A220" i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I317" i="4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A255" i="4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A254" i="4"/>
  <c r="A253" i="4"/>
  <c r="H106" i="4"/>
  <c r="H105" i="4"/>
  <c r="H104" i="4"/>
  <c r="H102" i="4"/>
  <c r="H101" i="4"/>
  <c r="H100" i="4"/>
  <c r="H98" i="4"/>
  <c r="P97" i="4"/>
  <c r="H97" i="4"/>
  <c r="P96" i="4"/>
  <c r="H96" i="4"/>
  <c r="P95" i="4"/>
  <c r="P94" i="4"/>
  <c r="H94" i="4"/>
  <c r="P93" i="4"/>
  <c r="H93" i="4"/>
  <c r="P92" i="4"/>
  <c r="H92" i="4"/>
  <c r="P91" i="4"/>
  <c r="P90" i="4"/>
  <c r="H90" i="4"/>
  <c r="P89" i="4"/>
  <c r="H89" i="4"/>
  <c r="P88" i="4"/>
  <c r="H88" i="4"/>
  <c r="P87" i="4"/>
  <c r="P86" i="4"/>
  <c r="P85" i="4"/>
  <c r="H85" i="4"/>
  <c r="P84" i="4"/>
  <c r="H84" i="4"/>
  <c r="P83" i="4"/>
  <c r="H83" i="4"/>
  <c r="P82" i="4"/>
  <c r="P81" i="4"/>
  <c r="H81" i="4"/>
  <c r="P80" i="4"/>
  <c r="H80" i="4"/>
  <c r="P79" i="4"/>
  <c r="H79" i="4"/>
  <c r="P78" i="4"/>
  <c r="P77" i="4"/>
  <c r="H77" i="4"/>
  <c r="P76" i="4"/>
  <c r="H76" i="4"/>
  <c r="P75" i="4"/>
  <c r="H75" i="4"/>
  <c r="P74" i="4"/>
  <c r="P73" i="4"/>
  <c r="H73" i="4"/>
  <c r="P72" i="4"/>
  <c r="H72" i="4"/>
  <c r="P71" i="4"/>
  <c r="H71" i="4"/>
  <c r="P70" i="4"/>
  <c r="P69" i="4"/>
  <c r="H69" i="4"/>
  <c r="H68" i="4"/>
  <c r="P67" i="4"/>
  <c r="H67" i="4"/>
  <c r="P66" i="4"/>
  <c r="H66" i="4"/>
  <c r="P65" i="4"/>
  <c r="H65" i="4"/>
  <c r="P64" i="4"/>
  <c r="H64" i="4"/>
  <c r="P63" i="4"/>
  <c r="H63" i="4"/>
  <c r="P62" i="4"/>
  <c r="H62" i="4"/>
  <c r="P61" i="4"/>
  <c r="H61" i="4"/>
  <c r="P60" i="4"/>
  <c r="H60" i="4"/>
  <c r="P59" i="4"/>
  <c r="H59" i="4"/>
  <c r="P58" i="4"/>
  <c r="H58" i="4"/>
  <c r="H57" i="4"/>
  <c r="P56" i="4"/>
  <c r="H56" i="4"/>
  <c r="P55" i="4"/>
  <c r="H55" i="4"/>
  <c r="P54" i="4"/>
  <c r="H54" i="4"/>
  <c r="P53" i="4"/>
  <c r="H53" i="4"/>
  <c r="P52" i="4"/>
  <c r="H52" i="4"/>
  <c r="P51" i="4"/>
  <c r="H51" i="4"/>
  <c r="P50" i="4"/>
  <c r="H50" i="4"/>
  <c r="P49" i="4"/>
  <c r="H49" i="4"/>
  <c r="P48" i="4"/>
  <c r="H48" i="4"/>
  <c r="P47" i="4"/>
  <c r="H47" i="4"/>
  <c r="P46" i="4"/>
  <c r="H46" i="4"/>
  <c r="P45" i="4"/>
  <c r="H45" i="4"/>
  <c r="P44" i="4"/>
  <c r="H44" i="4"/>
  <c r="H43" i="4"/>
  <c r="P42" i="4"/>
  <c r="H42" i="4"/>
  <c r="P41" i="4"/>
  <c r="H41" i="4"/>
  <c r="P40" i="4"/>
  <c r="H40" i="4"/>
  <c r="P39" i="4"/>
  <c r="H39" i="4"/>
  <c r="P38" i="4"/>
  <c r="H38" i="4"/>
  <c r="P37" i="4"/>
  <c r="H37" i="4"/>
  <c r="H36" i="4"/>
  <c r="P34" i="4"/>
  <c r="H34" i="4"/>
  <c r="P33" i="4"/>
  <c r="H33" i="4"/>
  <c r="P32" i="4"/>
  <c r="H32" i="4"/>
  <c r="P31" i="4"/>
  <c r="H31" i="4"/>
  <c r="P30" i="4"/>
  <c r="H30" i="4"/>
  <c r="P29" i="4"/>
  <c r="H29" i="4"/>
  <c r="P28" i="4"/>
  <c r="H28" i="4"/>
  <c r="P27" i="4"/>
  <c r="H27" i="4"/>
  <c r="A27" i="4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4" i="4" s="1"/>
  <c r="A78" i="4" s="1"/>
  <c r="A82" i="4" s="1"/>
  <c r="A86" i="4" s="1"/>
  <c r="A87" i="4" s="1"/>
  <c r="A91" i="4" s="1"/>
  <c r="A95" i="4" s="1"/>
  <c r="A99" i="4" s="1"/>
  <c r="A103" i="4" s="1"/>
  <c r="A107" i="4" s="1"/>
  <c r="A111" i="4" s="1"/>
  <c r="A115" i="4" s="1"/>
  <c r="K26" i="4" s="1"/>
  <c r="K27" i="4" s="1"/>
  <c r="K30" i="4" s="1"/>
  <c r="K31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P26" i="4"/>
  <c r="H26" i="4"/>
  <c r="H83" i="8" l="1"/>
  <c r="H82" i="8"/>
  <c r="H81" i="8"/>
  <c r="H80" i="8"/>
  <c r="H79" i="8"/>
  <c r="H78" i="8"/>
  <c r="H72" i="8"/>
  <c r="H71" i="8"/>
  <c r="H70" i="8"/>
  <c r="H69" i="8"/>
  <c r="H68" i="8"/>
  <c r="H61" i="8"/>
  <c r="H60" i="8"/>
  <c r="H59" i="8"/>
  <c r="H58" i="8"/>
  <c r="H57" i="8"/>
  <c r="H56" i="8"/>
  <c r="H55" i="8"/>
  <c r="H54" i="8"/>
  <c r="H51" i="8"/>
  <c r="H50" i="8"/>
  <c r="H49" i="8"/>
  <c r="H48" i="8"/>
  <c r="H45" i="8"/>
  <c r="H44" i="8"/>
  <c r="H43" i="8"/>
  <c r="H41" i="8"/>
  <c r="H40" i="8"/>
  <c r="H39" i="8"/>
  <c r="H36" i="8"/>
  <c r="H35" i="8"/>
  <c r="H30" i="8"/>
  <c r="H33" i="8"/>
  <c r="H32" i="8"/>
  <c r="H31" i="8"/>
  <c r="H29" i="8"/>
  <c r="H28" i="8"/>
  <c r="H27" i="8"/>
  <c r="H26" i="8"/>
  <c r="H25" i="8"/>
  <c r="H47" i="8"/>
  <c r="H46" i="8"/>
  <c r="A311" i="2" l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26" i="2" s="1"/>
  <c r="J327" i="2" s="1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47" i="2" s="1"/>
  <c r="J348" i="2" s="1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J367" i="2" s="1"/>
  <c r="J368" i="2" s="1"/>
  <c r="J369" i="2" s="1"/>
  <c r="J370" i="2" s="1"/>
  <c r="J371" i="2" s="1"/>
  <c r="J372" i="2" s="1"/>
  <c r="J373" i="2" s="1"/>
  <c r="J374" i="2" s="1"/>
  <c r="J375" i="2" s="1"/>
  <c r="J376" i="2" s="1"/>
  <c r="J377" i="2" s="1"/>
  <c r="J378" i="2" s="1"/>
  <c r="J379" i="2" s="1"/>
  <c r="A217" i="2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84" i="2" s="1"/>
  <c r="J285" i="2" s="1"/>
  <c r="A216" i="2"/>
  <c r="A122" i="2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A121" i="2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26" i="2"/>
  <c r="R123" i="1" l="1"/>
  <c r="R122" i="1"/>
  <c r="H180" i="1"/>
  <c r="H179" i="1"/>
  <c r="H178" i="1"/>
  <c r="H177" i="1"/>
  <c r="H176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S97" i="7" l="1"/>
  <c r="S96" i="7"/>
  <c r="S95" i="7"/>
  <c r="S94" i="7"/>
  <c r="S93" i="7"/>
  <c r="S92" i="7"/>
  <c r="S90" i="7"/>
  <c r="S89" i="7"/>
  <c r="S86" i="7"/>
  <c r="S85" i="7"/>
  <c r="S84" i="7"/>
  <c r="S79" i="7"/>
  <c r="S78" i="7"/>
  <c r="S77" i="7"/>
  <c r="S76" i="7"/>
  <c r="S75" i="7"/>
  <c r="S74" i="7"/>
  <c r="S73" i="7"/>
  <c r="M91" i="7"/>
  <c r="M121" i="7"/>
  <c r="M116" i="7"/>
  <c r="M115" i="7"/>
  <c r="M114" i="7"/>
  <c r="M113" i="7"/>
  <c r="M112" i="7"/>
  <c r="M111" i="7"/>
  <c r="M110" i="7"/>
  <c r="M109" i="7"/>
  <c r="M108" i="7"/>
  <c r="M107" i="7"/>
  <c r="M103" i="7"/>
  <c r="M102" i="7"/>
  <c r="M101" i="7"/>
  <c r="M99" i="7"/>
  <c r="M98" i="7"/>
  <c r="M97" i="7"/>
  <c r="M96" i="7"/>
  <c r="M95" i="7"/>
  <c r="M87" i="7"/>
  <c r="M82" i="7"/>
  <c r="M81" i="7"/>
  <c r="M80" i="7"/>
  <c r="M79" i="7"/>
  <c r="M78" i="7"/>
  <c r="M77" i="7"/>
  <c r="M73" i="7"/>
  <c r="M72" i="7"/>
  <c r="H121" i="7"/>
  <c r="H119" i="7"/>
  <c r="H118" i="7"/>
  <c r="H117" i="7"/>
  <c r="H116" i="7"/>
  <c r="H115" i="7"/>
  <c r="H114" i="7"/>
  <c r="H113" i="7"/>
  <c r="H111" i="7"/>
  <c r="H110" i="7"/>
  <c r="H109" i="7"/>
  <c r="H108" i="7"/>
  <c r="H107" i="7"/>
  <c r="H106" i="7"/>
  <c r="H105" i="7"/>
  <c r="H104" i="7"/>
  <c r="H103" i="7"/>
  <c r="H102" i="7"/>
  <c r="H101" i="7"/>
  <c r="H99" i="7"/>
  <c r="H98" i="7"/>
  <c r="H97" i="7"/>
  <c r="H96" i="7"/>
  <c r="H95" i="7"/>
  <c r="H94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3" i="7"/>
  <c r="H72" i="7"/>
  <c r="I350" i="9"/>
  <c r="J350" i="9" s="1"/>
  <c r="I349" i="9"/>
  <c r="J349" i="9" s="1"/>
  <c r="I348" i="9"/>
  <c r="J348" i="9" s="1"/>
  <c r="I347" i="9"/>
  <c r="J347" i="9" s="1"/>
  <c r="I346" i="9"/>
  <c r="J346" i="9" s="1"/>
  <c r="I345" i="9"/>
  <c r="J345" i="9" s="1"/>
  <c r="I344" i="9"/>
  <c r="J344" i="9" s="1"/>
  <c r="H173" i="9"/>
  <c r="N173" i="9" s="1"/>
  <c r="H172" i="9"/>
  <c r="N172" i="9" s="1"/>
  <c r="H171" i="9"/>
  <c r="N171" i="9" s="1"/>
  <c r="H170" i="9"/>
  <c r="N170" i="9" s="1"/>
  <c r="H169" i="9"/>
  <c r="N169" i="9" s="1"/>
  <c r="H168" i="9"/>
  <c r="N168" i="9" s="1"/>
  <c r="H167" i="9"/>
  <c r="N167" i="9" s="1"/>
  <c r="H166" i="9"/>
  <c r="N166" i="9" s="1"/>
  <c r="H165" i="9"/>
  <c r="N165" i="9" s="1"/>
  <c r="H164" i="9"/>
  <c r="N164" i="9" s="1"/>
  <c r="H163" i="9"/>
  <c r="N163" i="9" s="1"/>
  <c r="H162" i="9"/>
  <c r="N162" i="9" s="1"/>
  <c r="H161" i="9"/>
  <c r="N161" i="9" s="1"/>
  <c r="H160" i="9"/>
  <c r="N160" i="9" s="1"/>
  <c r="H159" i="9"/>
  <c r="N159" i="9" s="1"/>
  <c r="H158" i="9"/>
  <c r="N158" i="9" s="1"/>
  <c r="H157" i="9"/>
  <c r="N157" i="9" s="1"/>
  <c r="H156" i="9"/>
  <c r="N156" i="9" s="1"/>
  <c r="H154" i="9"/>
  <c r="N154" i="9" s="1"/>
  <c r="H153" i="9"/>
  <c r="N153" i="9" s="1"/>
  <c r="H151" i="9"/>
  <c r="N151" i="9" s="1"/>
  <c r="H150" i="9"/>
  <c r="N150" i="9" s="1"/>
  <c r="H149" i="9"/>
  <c r="N149" i="9" s="1"/>
  <c r="H148" i="9"/>
  <c r="N148" i="9" s="1"/>
  <c r="H147" i="9"/>
  <c r="N147" i="9" s="1"/>
  <c r="H146" i="9"/>
  <c r="N146" i="9" s="1"/>
  <c r="H145" i="9"/>
  <c r="N145" i="9" s="1"/>
  <c r="H144" i="9"/>
  <c r="N144" i="9" s="1"/>
  <c r="H143" i="9"/>
  <c r="N143" i="9" s="1"/>
  <c r="H142" i="9"/>
  <c r="N142" i="9" s="1"/>
  <c r="H141" i="9"/>
  <c r="N141" i="9" s="1"/>
  <c r="H136" i="9"/>
  <c r="N136" i="9" s="1"/>
  <c r="H135" i="9"/>
  <c r="N135" i="9" s="1"/>
  <c r="H134" i="9"/>
  <c r="N134" i="9" s="1"/>
  <c r="H133" i="9"/>
  <c r="N133" i="9" s="1"/>
  <c r="H132" i="9"/>
  <c r="N132" i="9" s="1"/>
  <c r="H131" i="9"/>
  <c r="N131" i="9" s="1"/>
  <c r="H130" i="9"/>
  <c r="N130" i="9" s="1"/>
  <c r="H129" i="9"/>
  <c r="N129" i="9" s="1"/>
  <c r="H128" i="9"/>
  <c r="N128" i="9" s="1"/>
  <c r="H127" i="9"/>
  <c r="N127" i="9" s="1"/>
  <c r="H124" i="9"/>
  <c r="N124" i="9" s="1"/>
  <c r="H123" i="9"/>
  <c r="N123" i="9" s="1"/>
  <c r="H122" i="9"/>
  <c r="N122" i="9" s="1"/>
  <c r="H121" i="9"/>
  <c r="N121" i="9" s="1"/>
  <c r="H120" i="9"/>
  <c r="N120" i="9" s="1"/>
  <c r="H119" i="9"/>
  <c r="N119" i="9" s="1"/>
  <c r="H118" i="9"/>
  <c r="N118" i="9" s="1"/>
  <c r="H117" i="9"/>
  <c r="N117" i="9" s="1"/>
  <c r="H116" i="9"/>
  <c r="N116" i="9" s="1"/>
  <c r="H115" i="9"/>
  <c r="N115" i="9" s="1"/>
  <c r="H114" i="9"/>
  <c r="N114" i="9" s="1"/>
  <c r="H113" i="9"/>
  <c r="N113" i="9" s="1"/>
  <c r="H112" i="9"/>
  <c r="N112" i="9" s="1"/>
  <c r="H111" i="9"/>
  <c r="N111" i="9" s="1"/>
  <c r="H110" i="9"/>
  <c r="N110" i="9" s="1"/>
  <c r="H109" i="9"/>
  <c r="N109" i="9" s="1"/>
  <c r="H108" i="9"/>
  <c r="N108" i="9" s="1"/>
  <c r="H106" i="9"/>
  <c r="N106" i="9" s="1"/>
  <c r="H104" i="9"/>
  <c r="N104" i="9" s="1"/>
  <c r="H101" i="9"/>
  <c r="N101" i="9" s="1"/>
  <c r="H86" i="9"/>
  <c r="N86" i="9" s="1"/>
  <c r="H85" i="9"/>
  <c r="N85" i="9" s="1"/>
  <c r="H84" i="9"/>
  <c r="N84" i="9" s="1"/>
  <c r="H83" i="9"/>
  <c r="N83" i="9" s="1"/>
  <c r="H82" i="9"/>
  <c r="N82" i="9" s="1"/>
  <c r="H81" i="9"/>
  <c r="N81" i="9" s="1"/>
  <c r="H80" i="9"/>
  <c r="N80" i="9" s="1"/>
  <c r="H79" i="9"/>
  <c r="N79" i="9" s="1"/>
  <c r="H78" i="9"/>
  <c r="N78" i="9" s="1"/>
  <c r="H77" i="9"/>
  <c r="N77" i="9" s="1"/>
  <c r="H76" i="9"/>
  <c r="N76" i="9" s="1"/>
  <c r="H75" i="9"/>
  <c r="N75" i="9" s="1"/>
  <c r="H74" i="9"/>
  <c r="N74" i="9" s="1"/>
  <c r="H73" i="9"/>
  <c r="N73" i="9" s="1"/>
  <c r="H72" i="9"/>
  <c r="N72" i="9" s="1"/>
  <c r="H68" i="9"/>
  <c r="N68" i="9" s="1"/>
  <c r="H67" i="9"/>
  <c r="N67" i="9" s="1"/>
  <c r="H66" i="9"/>
  <c r="N66" i="9" s="1"/>
  <c r="H65" i="9"/>
  <c r="N65" i="9" s="1"/>
  <c r="H64" i="9"/>
  <c r="N64" i="9" s="1"/>
  <c r="H63" i="9"/>
  <c r="N63" i="9" s="1"/>
  <c r="H62" i="9"/>
  <c r="N62" i="9" s="1"/>
  <c r="H61" i="9"/>
  <c r="N61" i="9" s="1"/>
  <c r="H60" i="9"/>
  <c r="N60" i="9" s="1"/>
  <c r="H59" i="9"/>
  <c r="N59" i="9" s="1"/>
  <c r="H58" i="9"/>
  <c r="N58" i="9" s="1"/>
  <c r="H55" i="9"/>
  <c r="N55" i="9" s="1"/>
  <c r="H53" i="9"/>
  <c r="N53" i="9" s="1"/>
  <c r="H52" i="9"/>
  <c r="N52" i="9" s="1"/>
  <c r="H51" i="9"/>
  <c r="N51" i="9" s="1"/>
  <c r="H50" i="9"/>
  <c r="N50" i="9" s="1"/>
  <c r="H49" i="9"/>
  <c r="N49" i="9" s="1"/>
  <c r="H48" i="9"/>
  <c r="N48" i="9" s="1"/>
  <c r="H47" i="9"/>
  <c r="N47" i="9" s="1"/>
  <c r="H46" i="9"/>
  <c r="N46" i="9" s="1"/>
  <c r="H45" i="9"/>
  <c r="N45" i="9" s="1"/>
  <c r="H44" i="9"/>
  <c r="N44" i="9" s="1"/>
  <c r="H43" i="9"/>
  <c r="N43" i="9" s="1"/>
  <c r="H42" i="9"/>
  <c r="N42" i="9" s="1"/>
  <c r="H41" i="9"/>
  <c r="N41" i="9" s="1"/>
  <c r="H40" i="9"/>
  <c r="N40" i="9" s="1"/>
  <c r="H39" i="9"/>
  <c r="N39" i="9" s="1"/>
  <c r="H38" i="9"/>
  <c r="N38" i="9" s="1"/>
  <c r="H37" i="9"/>
  <c r="N37" i="9" s="1"/>
  <c r="H36" i="9"/>
  <c r="N36" i="9" s="1"/>
  <c r="H35" i="9"/>
  <c r="N35" i="9" s="1"/>
  <c r="H34" i="9"/>
  <c r="N34" i="9" s="1"/>
  <c r="H33" i="9"/>
  <c r="N33" i="9" s="1"/>
  <c r="H32" i="9"/>
  <c r="N32" i="9" s="1"/>
  <c r="H31" i="9"/>
  <c r="N31" i="9" s="1"/>
  <c r="H30" i="9"/>
  <c r="N30" i="9" s="1"/>
  <c r="H29" i="9"/>
  <c r="N29" i="9" s="1"/>
  <c r="H28" i="9"/>
  <c r="N28" i="9" s="1"/>
  <c r="H27" i="9"/>
  <c r="N27" i="9" s="1"/>
  <c r="H26" i="9"/>
  <c r="N26" i="9" s="1"/>
  <c r="H25" i="9"/>
  <c r="N25" i="9" s="1"/>
  <c r="H23" i="9"/>
  <c r="N23" i="9" s="1"/>
  <c r="H21" i="9"/>
  <c r="N21" i="9" s="1"/>
  <c r="H18" i="9"/>
  <c r="N18" i="9" s="1"/>
  <c r="D337" i="5"/>
  <c r="D336" i="5"/>
  <c r="D335" i="5"/>
  <c r="I363" i="5"/>
  <c r="I362" i="5"/>
  <c r="I360" i="5"/>
  <c r="I358" i="5"/>
  <c r="I357" i="5"/>
  <c r="I356" i="5"/>
  <c r="I355" i="5"/>
  <c r="I354" i="5"/>
  <c r="I353" i="5"/>
  <c r="I352" i="5"/>
  <c r="I351" i="5"/>
  <c r="I350" i="5"/>
  <c r="I348" i="5"/>
  <c r="I347" i="5"/>
  <c r="I344" i="5"/>
  <c r="I343" i="5"/>
  <c r="I342" i="5"/>
  <c r="I339" i="5"/>
  <c r="I338" i="5"/>
  <c r="I337" i="5"/>
  <c r="I336" i="5"/>
  <c r="I335" i="5"/>
  <c r="I334" i="5"/>
  <c r="I333" i="5"/>
  <c r="I332" i="5"/>
  <c r="I331" i="5"/>
  <c r="I330" i="5"/>
  <c r="I328" i="5"/>
  <c r="I325" i="5"/>
  <c r="I314" i="5"/>
  <c r="I311" i="5"/>
  <c r="I305" i="5"/>
  <c r="I302" i="5"/>
  <c r="I301" i="5"/>
  <c r="I299" i="5"/>
  <c r="I297" i="5"/>
  <c r="D325" i="5"/>
  <c r="D324" i="5"/>
  <c r="D323" i="5"/>
  <c r="D322" i="5"/>
  <c r="D321" i="5"/>
  <c r="D320" i="5"/>
  <c r="D319" i="5"/>
  <c r="D317" i="5"/>
  <c r="D316" i="5"/>
  <c r="D315" i="5"/>
  <c r="D314" i="5"/>
  <c r="D313" i="5"/>
  <c r="D312" i="5"/>
  <c r="D311" i="5"/>
  <c r="D310" i="5"/>
  <c r="D309" i="5"/>
  <c r="D302" i="5"/>
  <c r="P382" i="4"/>
  <c r="P381" i="4"/>
  <c r="P380" i="4"/>
  <c r="P379" i="4"/>
  <c r="P378" i="4"/>
  <c r="P377" i="4"/>
  <c r="P376" i="4"/>
  <c r="P375" i="4"/>
  <c r="P374" i="4"/>
  <c r="P373" i="4"/>
  <c r="P372" i="4"/>
  <c r="P371" i="4"/>
  <c r="P370" i="4"/>
  <c r="P369" i="4"/>
  <c r="P368" i="4"/>
  <c r="P367" i="4"/>
  <c r="P366" i="4"/>
  <c r="P365" i="4"/>
  <c r="P364" i="4"/>
  <c r="P363" i="4"/>
  <c r="P362" i="4"/>
  <c r="P358" i="4"/>
  <c r="P357" i="4"/>
  <c r="P356" i="4"/>
  <c r="P355" i="4"/>
  <c r="P354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2" i="4"/>
  <c r="K381" i="4"/>
  <c r="K379" i="4"/>
  <c r="K378" i="4"/>
  <c r="K376" i="4"/>
  <c r="K375" i="4"/>
  <c r="K374" i="4"/>
  <c r="K373" i="4"/>
  <c r="K372" i="4"/>
  <c r="K371" i="4"/>
  <c r="K370" i="4"/>
  <c r="K369" i="4"/>
  <c r="K368" i="4"/>
  <c r="K367" i="4"/>
  <c r="K365" i="4"/>
  <c r="K364" i="4"/>
  <c r="K363" i="4"/>
  <c r="K362" i="4"/>
  <c r="K361" i="4"/>
  <c r="K360" i="4"/>
  <c r="K359" i="4"/>
  <c r="K357" i="4"/>
  <c r="K356" i="4"/>
  <c r="K355" i="4"/>
  <c r="K354" i="4"/>
  <c r="E410" i="4"/>
  <c r="E409" i="4"/>
  <c r="E408" i="4"/>
  <c r="E407" i="4"/>
  <c r="E406" i="4"/>
  <c r="E405" i="4"/>
  <c r="E404" i="4"/>
  <c r="E403" i="4"/>
  <c r="E401" i="4"/>
  <c r="E400" i="4"/>
  <c r="E399" i="4"/>
  <c r="E398" i="4"/>
  <c r="E397" i="4"/>
  <c r="E396" i="4"/>
  <c r="E395" i="4"/>
  <c r="E394" i="4"/>
  <c r="E393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2" i="4"/>
  <c r="E371" i="4"/>
  <c r="E370" i="4"/>
  <c r="E369" i="4"/>
  <c r="E368" i="4"/>
  <c r="E367" i="4"/>
  <c r="E366" i="4"/>
  <c r="E365" i="4"/>
  <c r="E364" i="4"/>
  <c r="E362" i="4"/>
  <c r="E361" i="4"/>
  <c r="E360" i="4"/>
  <c r="E359" i="4"/>
  <c r="E358" i="4"/>
  <c r="E357" i="4"/>
  <c r="E356" i="4"/>
  <c r="E355" i="4"/>
  <c r="E354" i="4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1" i="1"/>
  <c r="N250" i="1"/>
  <c r="N248" i="1"/>
  <c r="N247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H281" i="1"/>
  <c r="H280" i="1"/>
  <c r="H279" i="1"/>
  <c r="H278" i="1"/>
  <c r="H277" i="1"/>
  <c r="H276" i="1"/>
  <c r="H275" i="1"/>
  <c r="H274" i="1"/>
  <c r="H273" i="1"/>
  <c r="H271" i="1"/>
  <c r="H270" i="1"/>
  <c r="H269" i="1"/>
  <c r="H268" i="1"/>
  <c r="H267" i="1"/>
  <c r="H266" i="1"/>
  <c r="H265" i="1"/>
  <c r="H264" i="1"/>
  <c r="H263" i="1"/>
  <c r="K26" i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J13" i="7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J34" i="7" l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I209" i="4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A145" i="4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I144" i="4" l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I176" i="4" s="1"/>
  <c r="I177" i="4" s="1"/>
  <c r="I178" i="4" s="1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A300" i="9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197" i="9" l="1"/>
  <c r="A201" i="9" s="1"/>
  <c r="A202" i="9" s="1"/>
  <c r="A203" i="9" s="1"/>
  <c r="A204" i="9" s="1"/>
  <c r="A205" i="9" s="1"/>
  <c r="A206" i="9" s="1"/>
  <c r="A208" i="9" s="1"/>
  <c r="A209" i="9" s="1"/>
  <c r="A211" i="9" s="1"/>
  <c r="A212" i="9" s="1"/>
  <c r="A213" i="9" s="1"/>
  <c r="A214" i="9" s="1"/>
  <c r="A215" i="9" s="1"/>
  <c r="A217" i="9" s="1"/>
  <c r="A219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102" i="9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9" i="9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184" i="8" l="1"/>
  <c r="A188" i="8" s="1"/>
  <c r="A189" i="8" s="1"/>
  <c r="A190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102" i="8" l="1"/>
  <c r="A106" i="8" s="1"/>
  <c r="A107" i="8" s="1"/>
  <c r="A108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22" i="8" l="1"/>
  <c r="A23" i="8" s="1"/>
  <c r="A24" i="8" s="1"/>
  <c r="A28" i="8" s="1"/>
  <c r="A31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O346" i="5" l="1"/>
  <c r="B18" i="3" l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J25" i="2" l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K219" i="1" l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A123" i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K122" i="1" l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</author>
  </authors>
  <commentList>
    <comment ref="K108" authorId="0" shapeId="0" xr:uid="{E77C91D6-268E-4D13-8D17-DB828287412F}">
      <text>
        <r>
          <rPr>
            <b/>
            <sz val="9"/>
            <color indexed="81"/>
            <rFont val="Tahoma"/>
            <family val="2"/>
          </rPr>
          <t>Joe:</t>
        </r>
        <r>
          <rPr>
            <sz val="9"/>
            <color indexed="81"/>
            <rFont val="Tahoma"/>
            <family val="2"/>
          </rPr>
          <t xml:space="preserve">
Incliudes Chassis Adjustment 11212023
Amendment 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</author>
  </authors>
  <commentList>
    <comment ref="I11" authorId="0" shapeId="0" xr:uid="{78538B62-0ACE-46EC-982A-9DA59DF47701}">
      <text>
        <r>
          <rPr>
            <b/>
            <sz val="9"/>
            <color indexed="81"/>
            <rFont val="Tahoma"/>
            <charset val="1"/>
          </rPr>
          <t>Joe:</t>
        </r>
        <r>
          <rPr>
            <sz val="9"/>
            <color indexed="81"/>
            <rFont val="Tahoma"/>
            <charset val="1"/>
          </rPr>
          <t xml:space="preserve">
Inc chassis adj 11212023</t>
        </r>
      </text>
    </comment>
    <comment ref="I201" authorId="0" shapeId="0" xr:uid="{F790B03D-BBC6-4642-9F1D-9AD94A488680}">
      <text>
        <r>
          <rPr>
            <b/>
            <sz val="9"/>
            <color indexed="81"/>
            <rFont val="Tahoma"/>
            <charset val="1"/>
          </rPr>
          <t>Joe:</t>
        </r>
        <r>
          <rPr>
            <sz val="9"/>
            <color indexed="81"/>
            <rFont val="Tahoma"/>
            <charset val="1"/>
          </rPr>
          <t xml:space="preserve">
Inc chassis adj 11212023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</author>
  </authors>
  <commentList>
    <comment ref="J12" authorId="0" shapeId="0" xr:uid="{9B231EE0-11C2-4E49-AC0F-5E24F3DB0532}">
      <text>
        <r>
          <rPr>
            <b/>
            <sz val="9"/>
            <color indexed="81"/>
            <rFont val="Tahoma"/>
            <charset val="1"/>
          </rPr>
          <t xml:space="preserve">Reflects '24 chassis adjustment of $3240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</author>
  </authors>
  <commentList>
    <comment ref="H12" authorId="0" shapeId="0" xr:uid="{A110F077-2A5C-4C1F-9036-ACC4A106D576}">
      <text>
        <r>
          <rPr>
            <b/>
            <sz val="9"/>
            <color indexed="81"/>
            <rFont val="Tahoma"/>
            <family val="2"/>
          </rPr>
          <t xml:space="preserve">AZ Amendment 5
</t>
        </r>
      </text>
    </comment>
    <comment ref="V12" authorId="0" shapeId="0" xr:uid="{266F26C8-6711-44C2-B1A3-7205A227967E}">
      <text>
        <r>
          <rPr>
            <b/>
            <sz val="9"/>
            <color indexed="81"/>
            <rFont val="Tahoma"/>
            <family val="2"/>
          </rPr>
          <t>AZ Amendment 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</author>
  </authors>
  <commentList>
    <comment ref="I13" authorId="0" shapeId="0" xr:uid="{F7292303-86FA-41E5-937C-CF953387A90C}">
      <text>
        <r>
          <rPr>
            <b/>
            <sz val="9"/>
            <color indexed="81"/>
            <rFont val="Tahoma"/>
            <charset val="1"/>
          </rPr>
          <t>Joe:</t>
        </r>
        <r>
          <rPr>
            <sz val="9"/>
            <color indexed="81"/>
            <rFont val="Tahoma"/>
            <charset val="1"/>
          </rPr>
          <t xml:space="preserve">
Includes chassis adj 11202023</t>
        </r>
      </text>
    </comment>
    <comment ref="I15" authorId="0" shapeId="0" xr:uid="{719F452B-E5EC-409C-B92E-85EA8E78F3D7}">
      <text>
        <r>
          <rPr>
            <b/>
            <sz val="9"/>
            <color indexed="81"/>
            <rFont val="Tahoma"/>
            <charset val="1"/>
          </rPr>
          <t>Joe:</t>
        </r>
        <r>
          <rPr>
            <sz val="9"/>
            <color indexed="81"/>
            <rFont val="Tahoma"/>
            <charset val="1"/>
          </rPr>
          <t xml:space="preserve">
Includes Chassis Adj 11212023</t>
        </r>
      </text>
    </comment>
    <comment ref="I95" authorId="0" shapeId="0" xr:uid="{30249983-421A-49FF-89DC-6476C93FF3D4}">
      <text>
        <r>
          <rPr>
            <b/>
            <sz val="9"/>
            <color indexed="81"/>
            <rFont val="Tahoma"/>
            <charset val="1"/>
          </rPr>
          <t>Joe:</t>
        </r>
        <r>
          <rPr>
            <sz val="9"/>
            <color indexed="81"/>
            <rFont val="Tahoma"/>
            <charset val="1"/>
          </rPr>
          <t xml:space="preserve">
Inc chassis adj 11212023</t>
        </r>
      </text>
    </comment>
    <comment ref="I97" authorId="0" shapeId="0" xr:uid="{D51D57C8-9B2F-497D-A751-10C9A5AAE2B1}">
      <text>
        <r>
          <rPr>
            <b/>
            <sz val="9"/>
            <color indexed="81"/>
            <rFont val="Tahoma"/>
            <charset val="1"/>
          </rPr>
          <t>Joe:Inc Chassis Adj 11212023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7" authorId="0" shapeId="0" xr:uid="{E3DAB939-470E-4429-8D4C-864F89988522}">
      <text>
        <r>
          <rPr>
            <b/>
            <sz val="9"/>
            <color indexed="81"/>
            <rFont val="Tahoma"/>
            <charset val="1"/>
          </rPr>
          <t>Joe:</t>
        </r>
        <r>
          <rPr>
            <sz val="9"/>
            <color indexed="81"/>
            <rFont val="Tahoma"/>
            <charset val="1"/>
          </rPr>
          <t xml:space="preserve">
Inc Chasis Adj 11212023</t>
        </r>
      </text>
    </comment>
    <comment ref="I179" authorId="0" shapeId="0" xr:uid="{B10C7594-7AF5-4AFD-8464-EB08D1D61249}">
      <text>
        <r>
          <rPr>
            <b/>
            <sz val="9"/>
            <color indexed="81"/>
            <rFont val="Tahoma"/>
            <charset val="1"/>
          </rPr>
          <t>Joe:</t>
        </r>
        <r>
          <rPr>
            <sz val="9"/>
            <color indexed="81"/>
            <rFont val="Tahoma"/>
            <charset val="1"/>
          </rPr>
          <t xml:space="preserve">
Inc Chasis Adj 11212023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</author>
  </authors>
  <commentList>
    <comment ref="N183" authorId="0" shapeId="0" xr:uid="{73BE0A15-FD02-4613-A93B-C62BD61D3B6B}">
      <text>
        <r>
          <rPr>
            <b/>
            <sz val="9"/>
            <color indexed="81"/>
            <rFont val="Tahoma"/>
            <family val="2"/>
          </rPr>
          <t>Joe:</t>
        </r>
        <r>
          <rPr>
            <sz val="9"/>
            <color indexed="81"/>
            <rFont val="Tahoma"/>
            <family val="2"/>
          </rPr>
          <t xml:space="preserve">
Force majeure Adjustment updated 01312024
</t>
        </r>
      </text>
    </comment>
    <comment ref="N185" authorId="0" shapeId="0" xr:uid="{9BA1748C-CA4B-46C3-8966-8E7D5A5EE040}">
      <text>
        <r>
          <rPr>
            <b/>
            <sz val="9"/>
            <color indexed="81"/>
            <rFont val="Tahoma"/>
            <family val="2"/>
          </rPr>
          <t>Joe:</t>
        </r>
        <r>
          <rPr>
            <sz val="9"/>
            <color indexed="81"/>
            <rFont val="Tahoma"/>
            <family val="2"/>
          </rPr>
          <t xml:space="preserve">
Force majeure Adjustment updated 01312024</t>
        </r>
      </text>
    </comment>
    <comment ref="N206" authorId="0" shapeId="0" xr:uid="{EA19EC27-9597-4571-8D31-0374C7FACE67}">
      <text>
        <r>
          <rPr>
            <b/>
            <sz val="9"/>
            <color indexed="81"/>
            <rFont val="Tahoma"/>
            <family val="2"/>
          </rPr>
          <t>Joe:</t>
        </r>
        <r>
          <rPr>
            <sz val="9"/>
            <color indexed="81"/>
            <rFont val="Tahoma"/>
            <family val="2"/>
          </rPr>
          <t xml:space="preserve">
Force majeure Adjustment updated 01312024</t>
        </r>
      </text>
    </comment>
    <comment ref="N208" authorId="0" shapeId="0" xr:uid="{FC5A3B19-5371-44CD-A05C-9F6645E1863D}">
      <text>
        <r>
          <rPr>
            <b/>
            <sz val="9"/>
            <color indexed="81"/>
            <rFont val="Tahoma"/>
            <family val="2"/>
          </rPr>
          <t>Joe:</t>
        </r>
        <r>
          <rPr>
            <sz val="9"/>
            <color indexed="81"/>
            <rFont val="Tahoma"/>
            <family val="2"/>
          </rPr>
          <t xml:space="preserve">
Force majeure Adjustment updated 01312024</t>
        </r>
      </text>
    </comment>
    <comment ref="N213" authorId="0" shapeId="0" xr:uid="{64D7A2D7-D437-4FB0-AC5A-B1FCCEF812BF}">
      <text>
        <r>
          <rPr>
            <b/>
            <sz val="9"/>
            <color indexed="81"/>
            <rFont val="Tahoma"/>
            <family val="2"/>
          </rPr>
          <t>Joe:</t>
        </r>
        <r>
          <rPr>
            <sz val="9"/>
            <color indexed="81"/>
            <rFont val="Tahoma"/>
            <family val="2"/>
          </rPr>
          <t xml:space="preserve">
Force majeure Adjustment updated 01312024</t>
        </r>
      </text>
    </comment>
  </commentList>
</comments>
</file>

<file path=xl/sharedStrings.xml><?xml version="1.0" encoding="utf-8"?>
<sst xmlns="http://schemas.openxmlformats.org/spreadsheetml/2006/main" count="6566" uniqueCount="1028">
  <si>
    <t>Attachment C, MBTA RFP 20-01 Price and Optional Features Pricing Worksheets</t>
  </si>
  <si>
    <t>Manufacturer</t>
  </si>
  <si>
    <t>Model</t>
  </si>
  <si>
    <t>Class A (Ford E350)</t>
  </si>
  <si>
    <t>Class B-Propane (Ford E450)</t>
  </si>
  <si>
    <t>Bid 41/64 GGE</t>
  </si>
  <si>
    <t>8 min psgr, 138" wb</t>
  </si>
  <si>
    <t>12 min psgr, 158" wb</t>
  </si>
  <si>
    <t>Class A (Ford Transit T350)</t>
  </si>
  <si>
    <t>NA</t>
  </si>
  <si>
    <t>8 min psgr, 137" wb</t>
  </si>
  <si>
    <t>Class B (Ford E350)</t>
  </si>
  <si>
    <t>Class C-Propane (Ford E450)</t>
  </si>
  <si>
    <t>16 psgr (rear lift), 176-190" wb</t>
  </si>
  <si>
    <t>Class B (Ford E450)</t>
  </si>
  <si>
    <t>Class B-CNG (Ford E450)</t>
  </si>
  <si>
    <t>Class C (Ford E450)</t>
  </si>
  <si>
    <t>Class C -CNG (Ford E450)</t>
  </si>
  <si>
    <t xml:space="preserve">Diamond Coach </t>
  </si>
  <si>
    <t>VIP</t>
  </si>
  <si>
    <t>102,952  (41 GGE)</t>
  </si>
  <si>
    <t>105,841 (41 GGE)</t>
  </si>
  <si>
    <t>Optional Features:</t>
  </si>
  <si>
    <t>Freedman Foldaway Seat (double)</t>
  </si>
  <si>
    <t>Telma Driveline Brake Retarder</t>
  </si>
  <si>
    <t>Luminator AHD 4 camera (Apollo)</t>
  </si>
  <si>
    <t>34"-36" Freedman Flip Seat (featherweight)</t>
  </si>
  <si>
    <t>AWD for Class A-T350</t>
  </si>
  <si>
    <t>Luminator AHD 8 camera (Apollo)</t>
  </si>
  <si>
    <t>17"-18" Freedman Flip Seat (featherweight)</t>
  </si>
  <si>
    <t>Mor-RYD Suspension</t>
  </si>
  <si>
    <t>Freedman Seatlink head unit + install</t>
  </si>
  <si>
    <t>N/A</t>
  </si>
  <si>
    <t>For 3 pt seats only, must also use GO-ES at this time</t>
  </si>
  <si>
    <t>Go-ES Single Seat</t>
  </si>
  <si>
    <t>Mor-RYD Suspension RSX</t>
  </si>
  <si>
    <t>Freedman  Seatlink per seat</t>
  </si>
  <si>
    <t>Go-ES Double Seat</t>
  </si>
  <si>
    <t>Liquidspring  Suspension</t>
  </si>
  <si>
    <t>Go-ES Double Foldaway Seat</t>
  </si>
  <si>
    <t>Reyco Granning Air Suspension</t>
  </si>
  <si>
    <t>Go-ES Double Flip Seat</t>
  </si>
  <si>
    <t xml:space="preserve">RoadSpeed Limiter </t>
  </si>
  <si>
    <t>Freedman ICS Child Seat</t>
  </si>
  <si>
    <t xml:space="preserve">Intermotive Automatic Stop/Start System </t>
  </si>
  <si>
    <t>Credit for seat delete</t>
  </si>
  <si>
    <t>Intermotive Idle Lock System</t>
  </si>
  <si>
    <t>Recaro SHS Drivers Seat (If not standard)</t>
  </si>
  <si>
    <t>Intermotive Engine Monitoring and Shutdown</t>
  </si>
  <si>
    <t>Recaro LX-S (if not standard)</t>
  </si>
  <si>
    <t>Intermotive Park Crank Only Module</t>
  </si>
  <si>
    <t>USSC G2 E Drivers Seat (If not standard)</t>
  </si>
  <si>
    <t>Intermotive Pre-Trip Module</t>
  </si>
  <si>
    <t>Freedman Sport 2 Drivers Seat (if not standard)</t>
  </si>
  <si>
    <t>Intermotive Break Out Box (Multi Access Hub)</t>
  </si>
  <si>
    <t>ADNIK Power Seat Base</t>
  </si>
  <si>
    <t>Cruise Control</t>
  </si>
  <si>
    <t>STD</t>
  </si>
  <si>
    <t>OEM DriversSeat</t>
  </si>
  <si>
    <t>Spare tire additional (loose, full size, match OEM)</t>
  </si>
  <si>
    <t>Freedman Docket 90 cloth (per seat)</t>
  </si>
  <si>
    <t>Sportworks bike rack (black 2 bike)</t>
  </si>
  <si>
    <t>Freedman "Priority Vinyl" per seat</t>
  </si>
  <si>
    <t>Sportworks bike rack (Stainless 2 Bike)</t>
  </si>
  <si>
    <t>Freedman Child Seat Tether</t>
  </si>
  <si>
    <t>Velvac Power Mirror</t>
  </si>
  <si>
    <t>Freedman Graffiti Back Seat Covers</t>
  </si>
  <si>
    <t>CrossOver Mirror</t>
  </si>
  <si>
    <t>USB charging ports (per seat, mounted under seat)</t>
  </si>
  <si>
    <t>Manual Exterior Mirrors &lt;Credit&gt;</t>
  </si>
  <si>
    <t>Freedman SneezeGuard (Per Seat)</t>
  </si>
  <si>
    <t>Roof Vent</t>
  </si>
  <si>
    <t>Freedman Grab rail Cover (per)</t>
  </si>
  <si>
    <t>HELP Bumper - Front</t>
  </si>
  <si>
    <t>Freedman Seat bands and Triangles (per)</t>
  </si>
  <si>
    <t>Rear Tow Hooks</t>
  </si>
  <si>
    <t>DryVGard Drivers Shield</t>
  </si>
  <si>
    <t>CPR</t>
  </si>
  <si>
    <t>Locking rear door w/alarm</t>
  </si>
  <si>
    <t>Raised Flat Floor - (3 Step Entry)</t>
  </si>
  <si>
    <t>Removable diamond floor access plate</t>
  </si>
  <si>
    <r>
      <t xml:space="preserve">Raised Flat Floor - (West Coast Style) </t>
    </r>
    <r>
      <rPr>
        <sz val="9"/>
        <color theme="1"/>
        <rFont val="Calibri"/>
        <family val="2"/>
        <scheme val="minor"/>
      </rPr>
      <t>1/2 Step Behind Driver</t>
    </r>
  </si>
  <si>
    <t>Locking fuel door</t>
  </si>
  <si>
    <t>Thermal Window Film/Covering</t>
  </si>
  <si>
    <t>Armored Marker lights and side turn signal</t>
  </si>
  <si>
    <t>Additional Mobility Aid position 8100's (w/tie downs)</t>
  </si>
  <si>
    <t>Dialight Exterior LED</t>
  </si>
  <si>
    <t>Additional Mobility Aid position 8300's (w/tie downs)</t>
  </si>
  <si>
    <t>Dialight Interior  LED</t>
  </si>
  <si>
    <t>Additional Mobility Aid position 360's (w/tie downs)</t>
  </si>
  <si>
    <t xml:space="preserve">Additional Battery </t>
  </si>
  <si>
    <t>Qstraint Deluxe (8100) credit per set of 4</t>
  </si>
  <si>
    <t>Stepwell Battery Tray</t>
  </si>
  <si>
    <t>Qstraint Max (8300) credit per set of 4</t>
  </si>
  <si>
    <t>Farebox rail/prewire</t>
  </si>
  <si>
    <t>Qstraint Qube</t>
  </si>
  <si>
    <t>Onspot tire chains</t>
  </si>
  <si>
    <t>Qstraint InQline</t>
  </si>
  <si>
    <t>64 GGE Propane</t>
  </si>
  <si>
    <t>AMF Silver Protektor credit per set of 4</t>
  </si>
  <si>
    <t>Amerex Fire Suppression</t>
  </si>
  <si>
    <t>AMF Platinum price or credit per set of 4</t>
  </si>
  <si>
    <t>Amerex Fire Suppression w/Methane Detection</t>
  </si>
  <si>
    <t>Full Length Track (Floor) (Per Foot)</t>
  </si>
  <si>
    <t xml:space="preserve">Kidde Automatic Fire Supression w/Methane </t>
  </si>
  <si>
    <t>Full Length Track (Sidewall) (Per Foot)</t>
  </si>
  <si>
    <t>Fogmaker fire suppresion</t>
  </si>
  <si>
    <t>Standard Track &lt;Credit&gt; If Full Length Track Ordered</t>
  </si>
  <si>
    <t>Rear Backup Camera and Monitor</t>
  </si>
  <si>
    <t>Braun NCL 1000 (1k lbs capacity lift)</t>
  </si>
  <si>
    <t>Rearview Mirror Mounted Turn Camera</t>
  </si>
  <si>
    <t>Ricon S 5005 - (Note: Check Buy America Compliance)</t>
  </si>
  <si>
    <t>Surveillance System Camera Prewire - (Only)</t>
  </si>
  <si>
    <t>Lift Pad Cover</t>
  </si>
  <si>
    <t>Safe Fleet - 4 Camera (1T, Wifi) Seon/Mobileview</t>
  </si>
  <si>
    <t>Rubber Floor &lt;Credit&gt;</t>
  </si>
  <si>
    <t>Safe Fleet - 6 Camera (2T, Wifi Seon/Mobileview)</t>
  </si>
  <si>
    <t>Gerflor/Tarabus floor</t>
  </si>
  <si>
    <t>Safe Fleet - 8 Camera (2T, Wifi Seon/Mobileview)</t>
  </si>
  <si>
    <t>Ad rails (interior, both sides)</t>
  </si>
  <si>
    <t>Safe Fleet - (4T Storage Upgrade) (Seon/Mobileview)</t>
  </si>
  <si>
    <t>Hand straps (each)</t>
  </si>
  <si>
    <t>Safe Fleet - InView 360HD 9 (Seon/Mobileview)</t>
  </si>
  <si>
    <t>2-Way radio prep</t>
  </si>
  <si>
    <t>REI - 4 Camera Surveillance (2T DVR)</t>
  </si>
  <si>
    <t>REI PA system (4 interior, 1 exterior ADA sokr)</t>
  </si>
  <si>
    <t>REI - 6 Camera Surveillance (2T DVR)</t>
  </si>
  <si>
    <t>Gooseneck microphone w footswitch</t>
  </si>
  <si>
    <t>REI - 8 Camera Surveillance (2T DVR)</t>
  </si>
  <si>
    <t>Thermo King - SA 800</t>
  </si>
  <si>
    <t>Transign Electric Roller Curtain Sign (Front/Side)</t>
  </si>
  <si>
    <t>Thermo King - Roof Top Condenser for SA 800 System</t>
  </si>
  <si>
    <t>Transign Electronic Signs (Front/Side)</t>
  </si>
  <si>
    <t>Thermo King SLR - 65 (Roof Top System)</t>
  </si>
  <si>
    <t>Transign Electronic Rear Route Number Sign</t>
  </si>
  <si>
    <t>Thermo King SLR - 75 (Roof Top System)</t>
  </si>
  <si>
    <t>Stop Request System (w/ sign)</t>
  </si>
  <si>
    <t>Thermo King A/C Oil Seperator</t>
  </si>
  <si>
    <t>Hanover Front and Side Destination Signs</t>
  </si>
  <si>
    <t>Transair 77 / #16 Hose 108k BTU</t>
  </si>
  <si>
    <t>Hanover Rear Sign</t>
  </si>
  <si>
    <t>Transair TA77R90 (Super 13 90k) Roof Top System</t>
  </si>
  <si>
    <t>Hanover Stop Announcement</t>
  </si>
  <si>
    <t>Transair FM100 108k BTU (Flush Mount)</t>
  </si>
  <si>
    <t>Twin Vision Front and Side LED Dest sign (Mobilite)</t>
  </si>
  <si>
    <t>Transair RT60 75k BTU (Roof Mount)</t>
  </si>
  <si>
    <t>Twin Vision Front and Side LED Dest sign (Full Size)</t>
  </si>
  <si>
    <t>Transair RT96 114k BTU (Roof Mount)</t>
  </si>
  <si>
    <t>Twin Vision Rear Sign</t>
  </si>
  <si>
    <t>ProAir 13HD - 80k BTU</t>
  </si>
  <si>
    <t>Delivery Zone 1</t>
  </si>
  <si>
    <t>ProAir 73HD - 90k BTU</t>
  </si>
  <si>
    <t>Delivery Zone 2</t>
  </si>
  <si>
    <t>ProAir 913HD-21 105k BTU</t>
  </si>
  <si>
    <t>Delivery Zone 3</t>
  </si>
  <si>
    <t>ProAir RTS 7 Roof Top - 75k BTU</t>
  </si>
  <si>
    <t>Delivery Zone 4</t>
  </si>
  <si>
    <t>Delivery Zone 5</t>
  </si>
  <si>
    <t>Diamond Farebox NV</t>
  </si>
  <si>
    <t>(all fareboxes to be supplied with 2 vaults)</t>
  </si>
  <si>
    <t>Diamond Farebox XV</t>
  </si>
  <si>
    <t>Diamond Farebox SV</t>
  </si>
  <si>
    <t>Diamond Farebox RV</t>
  </si>
  <si>
    <t>CNG Upgrade to 39 GGE</t>
  </si>
  <si>
    <t>Bike Rack for A-T350 (2 bikes, black)</t>
  </si>
  <si>
    <t>Gerflor "Printed Digitl Safety message"</t>
  </si>
  <si>
    <t>Intermotive Brake Max Controller</t>
  </si>
  <si>
    <t>Intermotive FlexSpeak</t>
  </si>
  <si>
    <t>Qstraint Postural Belt (6327Y)</t>
  </si>
  <si>
    <t xml:space="preserve">A-Z Bus Sales A-B-C </t>
  </si>
  <si>
    <t>Glaval Bus</t>
  </si>
  <si>
    <t>Universal/Commute</t>
  </si>
  <si>
    <t>102,880  (41 GGE)</t>
  </si>
  <si>
    <t>105,880 (41 GGE)</t>
  </si>
  <si>
    <t>Turtle Top</t>
  </si>
  <si>
    <t>Terra Transit</t>
  </si>
  <si>
    <t>Optional Floorplans</t>
  </si>
  <si>
    <t>41 GGE</t>
  </si>
  <si>
    <t>7 min psgr, 138" wb - Front Lift</t>
  </si>
  <si>
    <t>7 min psgr, 137" wb - Front Lift</t>
  </si>
  <si>
    <t>11 min psgr, 158" wb - Front Lift</t>
  </si>
  <si>
    <t>Class B - CNG (Ford E450)</t>
  </si>
  <si>
    <t>14 min psgr, 176-190" wb - Front Lift</t>
  </si>
  <si>
    <t>Class C - CNG  (Ford E450)</t>
  </si>
  <si>
    <t>Kelderman Rear Air Suspension</t>
  </si>
  <si>
    <t>Sanitization Station</t>
  </si>
  <si>
    <t>Single Powered HEPA 3 Filtration System</t>
  </si>
  <si>
    <t>Double Powered HEPA 3 Filtration System</t>
  </si>
  <si>
    <t>Anti Microbrial Stanchion Pad Per Unit</t>
  </si>
  <si>
    <t>ACC 70K BTU A/C System</t>
  </si>
  <si>
    <t>ACC 70K BTU A/C Roof Mount System</t>
  </si>
  <si>
    <t>ACC 90K BTU A/C System</t>
  </si>
  <si>
    <t>Standard</t>
  </si>
  <si>
    <t>ACC 90K BTU A/C Roof Mount System</t>
  </si>
  <si>
    <t>Freedman Level #5 Nanocide Per Seat</t>
  </si>
  <si>
    <t>Freedman Level #6 Repel Per Seat</t>
  </si>
  <si>
    <t>Interior Walls/Ceiling CMI Nanocide</t>
  </si>
  <si>
    <t>Upgrade to 64 GGE LPG Conversion</t>
  </si>
  <si>
    <t>Upgrade to 40 GGE CNG Conversion</t>
  </si>
  <si>
    <t>Intermotive Flex Speak with Sign</t>
  </si>
  <si>
    <t>Q-Straint QPOD</t>
  </si>
  <si>
    <t xml:space="preserve">Freedman Seatlink </t>
  </si>
  <si>
    <t>See #140</t>
  </si>
  <si>
    <t>Davey Coach</t>
  </si>
  <si>
    <t>No Bid</t>
  </si>
  <si>
    <t>41 Gallon</t>
  </si>
  <si>
    <t>64 Gallon</t>
  </si>
  <si>
    <t>Freedman Sport 2 Dr Seat (credit)</t>
  </si>
  <si>
    <t>Std</t>
  </si>
  <si>
    <t>Quote</t>
  </si>
  <si>
    <t>Stop request with ADA buttons on seats and Wheelchair</t>
  </si>
  <si>
    <t>Recaro LX-S</t>
  </si>
  <si>
    <t xml:space="preserve">Velvac Power Mirror </t>
  </si>
  <si>
    <r>
      <t>CrossOver Mirror</t>
    </r>
    <r>
      <rPr>
        <b/>
        <sz val="11"/>
        <color theme="1"/>
        <rFont val="Calibri"/>
        <family val="2"/>
        <scheme val="minor"/>
      </rPr>
      <t xml:space="preserve"> </t>
    </r>
  </si>
  <si>
    <t>Not available on Ford Transit</t>
  </si>
  <si>
    <t>Transpec Econo</t>
  </si>
  <si>
    <t>Per Window</t>
  </si>
  <si>
    <t>Match OEM</t>
  </si>
  <si>
    <t>See Option 141</t>
  </si>
  <si>
    <t>AMF Silver Protektor price or credit per set of 4</t>
  </si>
  <si>
    <t xml:space="preserve">Gerflor/Tarabus floor    </t>
  </si>
  <si>
    <t>Storage Only</t>
  </si>
  <si>
    <t>Gerflor "Printed Digital Safety message"</t>
  </si>
  <si>
    <t>Creative Bus Sales</t>
  </si>
  <si>
    <t>Starcraft</t>
  </si>
  <si>
    <t>Starlite</t>
  </si>
  <si>
    <t>* Bid price includes 5-year / 100,000 mile warranty on base bus and equipment</t>
  </si>
  <si>
    <t>Allstar</t>
  </si>
  <si>
    <t>Startrans</t>
  </si>
  <si>
    <t>Candidate II</t>
  </si>
  <si>
    <t>Senator II</t>
  </si>
  <si>
    <t>See Class A Sheet</t>
  </si>
  <si>
    <t>* Bid Price Includes 5-year/100,000 Mile Warranty on Base Bus and Equipment</t>
  </si>
  <si>
    <t>Note-Glaval, StarCraft and StarTrans buses are substantially identical vehicles sharing the same Altoona tests, Buy America data and design.</t>
  </si>
  <si>
    <t>For more information and a report outlining the similarities and differences between the models, please contact CalACT-MBTA.</t>
  </si>
  <si>
    <t>Low Floor MiniVan</t>
  </si>
  <si>
    <t>BraunAbility</t>
  </si>
  <si>
    <t>WAV Side Entry</t>
  </si>
  <si>
    <t>Base Price</t>
  </si>
  <si>
    <t>Optional Features</t>
  </si>
  <si>
    <t>Power Sliding Door</t>
  </si>
  <si>
    <t>Credit for seat removal (-)</t>
  </si>
  <si>
    <t>Freedman Rear Seat</t>
  </si>
  <si>
    <t>Qstraint Postural Belts (6327Y)</t>
  </si>
  <si>
    <t>A-Z Bus Sales</t>
  </si>
  <si>
    <t>Entourage, Legacy, Concorde II</t>
  </si>
  <si>
    <t xml:space="preserve"> </t>
  </si>
  <si>
    <t>Class E-F 550</t>
  </si>
  <si>
    <t>CLASS E-INT</t>
  </si>
  <si>
    <t>Class E-FRT</t>
  </si>
  <si>
    <t>Class E-F 550 (CNG)</t>
  </si>
  <si>
    <t>Class E-F 550 Propane</t>
  </si>
  <si>
    <t>Length</t>
  </si>
  <si>
    <t>25'</t>
  </si>
  <si>
    <t>32'</t>
  </si>
  <si>
    <t>State GGE capacity</t>
  </si>
  <si>
    <t>65 GGE</t>
  </si>
  <si>
    <t>27.5'</t>
  </si>
  <si>
    <t>27'</t>
  </si>
  <si>
    <t>35'</t>
  </si>
  <si>
    <t>127,278 /53 GGE</t>
  </si>
  <si>
    <t>30'</t>
  </si>
  <si>
    <t>29'</t>
  </si>
  <si>
    <t>129,210 /53 GGE</t>
  </si>
  <si>
    <t>Class E-F650</t>
  </si>
  <si>
    <t>32.5'</t>
  </si>
  <si>
    <t>132,096 / 53 GGE</t>
  </si>
  <si>
    <t>38'</t>
  </si>
  <si>
    <t>F550</t>
  </si>
  <si>
    <t>F650</t>
  </si>
  <si>
    <t>Intermotive Flexspeak</t>
  </si>
  <si>
    <r>
      <t xml:space="preserve">Mor-RYD Suspension RSX - </t>
    </r>
    <r>
      <rPr>
        <b/>
        <sz val="11"/>
        <color theme="1"/>
        <rFont val="Calibri"/>
        <family val="2"/>
        <scheme val="minor"/>
      </rPr>
      <t>F-550</t>
    </r>
  </si>
  <si>
    <t>Qstraint Postural Belt</t>
  </si>
  <si>
    <t>Raised Roof</t>
  </si>
  <si>
    <t>Freedman Sport 2 Dr Seat</t>
  </si>
  <si>
    <t>Adnik Seat Base</t>
  </si>
  <si>
    <t>FRGT</t>
  </si>
  <si>
    <t>Qstraint QPOD</t>
  </si>
  <si>
    <t>OEM Drivers Seat - Standard</t>
  </si>
  <si>
    <t>Liquidspring  Suspension (Durastar)</t>
  </si>
  <si>
    <t>Qstraint Quantum</t>
  </si>
  <si>
    <t>Raised Flat Floor - (4 Step Entry)</t>
  </si>
  <si>
    <t>F-550</t>
  </si>
  <si>
    <t>F-650</t>
  </si>
  <si>
    <t>65 GGE PROPANE</t>
  </si>
  <si>
    <t>F-550 GAS</t>
  </si>
  <si>
    <t>F-650 GAS</t>
  </si>
  <si>
    <t>FRT DIESEL</t>
  </si>
  <si>
    <t>INCL w/ Build</t>
  </si>
  <si>
    <t>(All fareboxes to have 2 vaults)</t>
  </si>
  <si>
    <t>Transair TA77 125k BTU</t>
  </si>
  <si>
    <t>Transair 77 / #16 Hose 165k BTU</t>
  </si>
  <si>
    <t>Transair RT135 177k BTU (Roof Mount)</t>
  </si>
  <si>
    <t>ProAir 91333-21 130k BTU</t>
  </si>
  <si>
    <t>ProAir RTS 90-21HD 90k BTU (Roof Mount)</t>
  </si>
  <si>
    <t>Allstar XL</t>
  </si>
  <si>
    <t>24 GGE capacity</t>
  </si>
  <si>
    <t>65 Gallon</t>
  </si>
  <si>
    <t xml:space="preserve">Mor-RYD Suspension  </t>
  </si>
  <si>
    <t>Ford F550 Diesel Option</t>
  </si>
  <si>
    <t>CNG Upgrade to 52 GGE from 24 GGE</t>
  </si>
  <si>
    <t>Heat Mitigation System</t>
  </si>
  <si>
    <t>Deleted</t>
  </si>
  <si>
    <t xml:space="preserve">Gerflor/Tarabus floor  </t>
  </si>
  <si>
    <t>Senator II HD</t>
  </si>
  <si>
    <t>Terra Transit &amp; Odyssey XLT</t>
  </si>
  <si>
    <t>40 GGE</t>
  </si>
  <si>
    <t>Upgrade to 53GGE CNG Conversion</t>
  </si>
  <si>
    <t>Ford 6.7L Diesel Engine</t>
  </si>
  <si>
    <t>ACC 125K BTU A/C System</t>
  </si>
  <si>
    <t>ACC 140K BTU A/C System</t>
  </si>
  <si>
    <t>ACC 180K BTU A/C System, Dual TC80</t>
  </si>
  <si>
    <t>ACC 95K BTU A/C System, Single TC80</t>
  </si>
  <si>
    <t>Luminator AHD 4 Camera (Apollo)</t>
  </si>
  <si>
    <t>Luminator AHD 8 Camera (Apollo)</t>
  </si>
  <si>
    <t>Freedman Seatlink headunit + install</t>
  </si>
  <si>
    <t>Freedman Seatlink per seat</t>
  </si>
  <si>
    <t>Intermotive Flexspeak with Sign</t>
  </si>
  <si>
    <t>ARBOC</t>
  </si>
  <si>
    <t>Spirit of Independence</t>
  </si>
  <si>
    <t>Length/Capacity/Capacity+WC GM chassis</t>
  </si>
  <si>
    <t>CNG Class G (29 GGE)</t>
  </si>
  <si>
    <t>23'/16/13+2</t>
  </si>
  <si>
    <t>26'/22/17+2</t>
  </si>
  <si>
    <t>Length/Capacity/Capacity+WC Class E-450 chassis</t>
  </si>
  <si>
    <t>26'/20/14+2</t>
  </si>
  <si>
    <t>28'/23/17+2</t>
  </si>
  <si>
    <t xml:space="preserve">Class G (Compact) Chassis </t>
  </si>
  <si>
    <t>23'/10/10+2</t>
  </si>
  <si>
    <t>8 Passenger (Non Commercial)</t>
  </si>
  <si>
    <t>Qstraint Incline Assist</t>
  </si>
  <si>
    <t>AWD for Class G-3 T350</t>
  </si>
  <si>
    <t>Freedman Sport 2 (if not standard)</t>
  </si>
  <si>
    <t>Subject to Availability</t>
  </si>
  <si>
    <t>OEM Drivers Seat</t>
  </si>
  <si>
    <t>Per foot</t>
  </si>
  <si>
    <t>TransAir RT96S / #16 Hose 98k BTU (Roof Mount)</t>
  </si>
  <si>
    <t>HORIZON</t>
  </si>
  <si>
    <t>Twin Vision Rear Route Number Sign</t>
  </si>
  <si>
    <t>Transmission Driver Compressor</t>
  </si>
  <si>
    <t>Engine Driven Air Compressor for Suspension</t>
  </si>
  <si>
    <t>Kneeling Option Delete &lt;Credit&gt;</t>
  </si>
  <si>
    <t>LiquidSpring Suspension</t>
  </si>
  <si>
    <t>ADA compliant with transign interior sign $4554</t>
  </si>
  <si>
    <t>Qstraint Postural Belt (Q6327Y)</t>
  </si>
  <si>
    <t>Low Floor Cutaways</t>
  </si>
  <si>
    <t>Spirit of Mobility (GM 4500)</t>
  </si>
  <si>
    <t>Only available with non-kneeling suspension</t>
  </si>
  <si>
    <t>Double with 1 ICS</t>
  </si>
  <si>
    <t>Removes std front/rear air suspension</t>
  </si>
  <si>
    <t>Rear only. Removes std front/rear air suspension</t>
  </si>
  <si>
    <t>New England Wheels</t>
  </si>
  <si>
    <t>Frontrunner</t>
  </si>
  <si>
    <t>Freedman Seatlink head unit/install</t>
  </si>
  <si>
    <t>Power Ramp for Frontrunner</t>
  </si>
  <si>
    <t>Full Air Suspension (Front/Rear)</t>
  </si>
  <si>
    <t>Ventura Plug Door</t>
  </si>
  <si>
    <t>Walker Rack</t>
  </si>
  <si>
    <t>Display Mounting Rack</t>
  </si>
  <si>
    <t>Recaro LX-S (If not standard)</t>
  </si>
  <si>
    <t>Rear Storage/Luggage Rack</t>
  </si>
  <si>
    <t>Yellow Stanchions in lieu of S/S Per Rail</t>
  </si>
  <si>
    <t>Freedmans Sport 2 (If not standard)</t>
  </si>
  <si>
    <t>Bantam Side Facing Seat</t>
  </si>
  <si>
    <t>Jomarr Fire Suppression System</t>
  </si>
  <si>
    <t>Class M Medium Duty Transit Coaches</t>
  </si>
  <si>
    <t>Low-Floor Medium Duty</t>
  </si>
  <si>
    <t>CNG</t>
  </si>
  <si>
    <t>Diesel</t>
  </si>
  <si>
    <t>27' - Min 21 Passengers or 13 + 2 (Single Door)</t>
  </si>
  <si>
    <t>30' - Min 24 Passengers or 17 + 2 (Single Door)</t>
  </si>
  <si>
    <t>32' - Min 28 Passengers or 19 + 2</t>
  </si>
  <si>
    <t>35' - Min 30 Passengers or 27 + 2</t>
  </si>
  <si>
    <t>Front Tow Hooks</t>
  </si>
  <si>
    <t>Exterior Lighting Package - Optronics</t>
  </si>
  <si>
    <t>USSC 9210 MLX Driver Seat</t>
  </si>
  <si>
    <t>Fold-Over Ramp</t>
  </si>
  <si>
    <t>Hanover Rear Route Sign</t>
  </si>
  <si>
    <t>Hanover Front Route Sign</t>
  </si>
  <si>
    <t>Glass Roof Hatch</t>
  </si>
  <si>
    <t>Engine Compartment Light</t>
  </si>
  <si>
    <t>Vinyl Soft Touch Interior Walls and Ceiling</t>
  </si>
  <si>
    <t>Twin Vision Front Route Sign</t>
  </si>
  <si>
    <t>ACC - Mini Sphere Heat/Cool - Single TM31</t>
  </si>
  <si>
    <t>ACC - Mini Sphere Heat/Cool - Single TM43</t>
  </si>
  <si>
    <t>ACC - Mini Sphere Heat/Cool - Dual TM43</t>
  </si>
  <si>
    <t>Valeo - Tropicool Heat/Cool Dual TC6043 80k w/TM43</t>
  </si>
  <si>
    <t>ProAir - ACT 160K RTS75H Heat/Cool Dual w/TM43</t>
  </si>
  <si>
    <t>All fareboxes to have 2 vaults</t>
  </si>
  <si>
    <t xml:space="preserve">Luminator Mobile </t>
  </si>
  <si>
    <t>Qstraint "Incline Assist"</t>
  </si>
  <si>
    <t>QPOD</t>
  </si>
  <si>
    <t>ARBOC Specialty Vehicles</t>
  </si>
  <si>
    <t>Spirit of Equess</t>
  </si>
  <si>
    <t>Storage only</t>
  </si>
  <si>
    <t>Class P LF Full-Size Van</t>
  </si>
  <si>
    <t>136" 5 pass/2 WC</t>
  </si>
  <si>
    <t>Promaster 1500 / 3500</t>
  </si>
  <si>
    <t>159" 8 pass/2 WC</t>
  </si>
  <si>
    <t>Class P, Transit Style Shuttle Van Base  Price</t>
  </si>
  <si>
    <t>See next pricing column</t>
  </si>
  <si>
    <t>Freedman Foldaway Seat (Double)</t>
  </si>
  <si>
    <t>Front Passenger Seat Delete and Storage Area</t>
  </si>
  <si>
    <t>Bus Style electric bus door</t>
  </si>
  <si>
    <t>3500 Only. N/A for 1500</t>
  </si>
  <si>
    <t>Freedman Foldaway Seat (Single)</t>
  </si>
  <si>
    <t>Front Passenger Seat Delete and Dual Shelf Storage</t>
  </si>
  <si>
    <t>270 amp Alternator</t>
  </si>
  <si>
    <t>TransAir TA4SLP 50k BTU</t>
  </si>
  <si>
    <t>Additional programmed key fobs</t>
  </si>
  <si>
    <t>TransAir RT60 75k BTU (Roof Mount)</t>
  </si>
  <si>
    <t>Qstraint Postural belts (per) yellow</t>
  </si>
  <si>
    <t>Antenna Prewire to Dash and Roof Mount Antenna</t>
  </si>
  <si>
    <t>Qstraint Postural belts (per) black</t>
  </si>
  <si>
    <t>External Power Door Lock Switch</t>
  </si>
  <si>
    <t>Grab Bar Rear Seating Area</t>
  </si>
  <si>
    <t>Intermotive Idlelock</t>
  </si>
  <si>
    <t>Roof Mounted Grab Bar</t>
  </si>
  <si>
    <t>Plexiglass barrier between psgr/luggage area</t>
  </si>
  <si>
    <t>Wheelchair Area Grab Bar</t>
  </si>
  <si>
    <t>MorRyde</t>
  </si>
  <si>
    <t>Intermotive Flextech</t>
  </si>
  <si>
    <t>Intermotive PreTrip</t>
  </si>
  <si>
    <t>Intermotive Start-Stop</t>
  </si>
  <si>
    <t>Requires Go-ES seat option</t>
  </si>
  <si>
    <t>(1) Std</t>
  </si>
  <si>
    <t>Rear Step-Up to Seating Area in Rear of Van</t>
  </si>
  <si>
    <t>Freedman Child Restraint System (per seat)</t>
  </si>
  <si>
    <t>Folding Footrest for First Row of Seats</t>
  </si>
  <si>
    <t>ECM flash Copy (per vehicle) for CNG</t>
  </si>
  <si>
    <t>Optronics Exterior LED</t>
  </si>
  <si>
    <t>Powder coated CNG tanks (per)</t>
  </si>
  <si>
    <t>Optronics Interior  LED</t>
  </si>
  <si>
    <t>Intermotivr FlexSpeak</t>
  </si>
  <si>
    <t>Ricon Clearview</t>
  </si>
  <si>
    <t>Commercila Version Only if available</t>
  </si>
  <si>
    <r>
      <t xml:space="preserve">Shoulder Belt Mount kit - </t>
    </r>
    <r>
      <rPr>
        <sz val="8"/>
        <color theme="1"/>
        <rFont val="Calibri"/>
        <family val="2"/>
        <scheme val="minor"/>
      </rPr>
      <t>Seatbelts Same Direction Rear Bench</t>
    </r>
  </si>
  <si>
    <t>CNG Valves and Seats</t>
  </si>
  <si>
    <t>CNG Option 24 GGE</t>
  </si>
  <si>
    <t>In-Floor Retractors Per Wheelchair</t>
  </si>
  <si>
    <t>Hanover Destination Signs</t>
  </si>
  <si>
    <t>40" Door with 34"  Ramp</t>
  </si>
  <si>
    <t>Engine Block Heater</t>
  </si>
  <si>
    <t>Drivers Running Board</t>
  </si>
  <si>
    <t>Engine Hour Meter</t>
  </si>
  <si>
    <t>Ramp Cover Padded Vinyl</t>
  </si>
  <si>
    <t>Driver Partition Upper Flexiglass - Behind Driver</t>
  </si>
  <si>
    <t>Horizontal Wall Grabrail at Wheelchair Position</t>
  </si>
  <si>
    <t>Additional Entryway Door Lighting</t>
  </si>
  <si>
    <t>Braun Ramp ILO OEM</t>
  </si>
  <si>
    <t>Battery Disconnect Switch</t>
  </si>
  <si>
    <t>Surelok Titan WC-18</t>
  </si>
  <si>
    <t>Qstraint Omni Floor</t>
  </si>
  <si>
    <t>Qstraint Incline "assist"</t>
  </si>
  <si>
    <t xml:space="preserve">Sunset Vans </t>
  </si>
  <si>
    <t>136"  5 pass/2 WC</t>
  </si>
  <si>
    <t>Ram ProMaster</t>
  </si>
  <si>
    <t>See above</t>
  </si>
  <si>
    <t>Standard on 159wb Model</t>
  </si>
  <si>
    <t>(Q5-6327-Y)</t>
  </si>
  <si>
    <t xml:space="preserve">Standard </t>
  </si>
  <si>
    <t>(Q5-6327-)</t>
  </si>
  <si>
    <t>For 3 pt seats only</t>
  </si>
  <si>
    <t>USB charging ports (per s+C30:E58eat, mounted under seat)</t>
  </si>
  <si>
    <t>Additional (bis has 2 standard)</t>
  </si>
  <si>
    <t>Wall mounted Tie down storage</t>
  </si>
  <si>
    <t>Quote Required</t>
  </si>
  <si>
    <t>Wall mounted storage bags</t>
  </si>
  <si>
    <t>Rear strobe light on roof</t>
  </si>
  <si>
    <t>Rear wc position Electronic rear retractors</t>
  </si>
  <si>
    <t xml:space="preserve">AC upgrade to 48k BTU </t>
  </si>
  <si>
    <t xml:space="preserve">Upgrade to 46" Plug Door </t>
  </si>
  <si>
    <t>159" WB Model Only</t>
  </si>
  <si>
    <t>Qstraint Incline (If applicable for RE vehicles)</t>
  </si>
  <si>
    <t>RO Bus Sales</t>
  </si>
  <si>
    <t>Class P ProMaster LF Van</t>
  </si>
  <si>
    <t>Class V Transit Van</t>
  </si>
  <si>
    <t>AZ Bus Sales</t>
  </si>
  <si>
    <t>NorCal Van</t>
  </si>
  <si>
    <t>Class V, 150 Transit Style Shuttle Van Base  Price</t>
  </si>
  <si>
    <t>Class V, 350 Transit Style Shuttle Van Base  Price</t>
  </si>
  <si>
    <t>Class V, 350 EL Transit Style Shuttle Van Base  Price</t>
  </si>
  <si>
    <t>Mark "NA" for unavailable items</t>
  </si>
  <si>
    <t>Shift-n-Step 150</t>
  </si>
  <si>
    <t>Shift-n-Step 350</t>
  </si>
  <si>
    <t>Shift-n-Step 350EL</t>
  </si>
  <si>
    <t>Modular Track Floor System</t>
  </si>
  <si>
    <t>Identify track seating model and supply tech specs, price to include Freedman flips or foldaways substituting for fixed seating in equivalent capacity to base.</t>
  </si>
  <si>
    <t>Rear Mounted NHTSA Compliant Braun Century Lift</t>
  </si>
  <si>
    <t>INCL</t>
  </si>
  <si>
    <t>Curbside front door modification - 150</t>
  </si>
  <si>
    <t>Curbside front door modification - 350</t>
  </si>
  <si>
    <t>Curbside front door modification - 350EL (NON-CALTRANS)</t>
  </si>
  <si>
    <t xml:space="preserve">Curbside front door modification - 350EL </t>
  </si>
  <si>
    <t>Smartfloor System - 150</t>
  </si>
  <si>
    <t>Smartfloor System - 350</t>
  </si>
  <si>
    <t>Smartfloor System - 350EL</t>
  </si>
  <si>
    <t>All Wheel Drive Option - 150</t>
  </si>
  <si>
    <t>All Wheel Drive Option - 350</t>
  </si>
  <si>
    <t>All Wheel Drive Option - 350EL</t>
  </si>
  <si>
    <t>Fast Idle Control</t>
  </si>
  <si>
    <t>Braun - 1,000lb Lift</t>
  </si>
  <si>
    <t>Transit Style Entry Door</t>
  </si>
  <si>
    <t>USB Power Dual Outlet</t>
  </si>
  <si>
    <t>110v Power Outlets w/Inverter (Min 2k)</t>
  </si>
  <si>
    <t>Child Seat</t>
  </si>
  <si>
    <t>Repel (Water Resistant Fabric) per seat</t>
  </si>
  <si>
    <t>Flip up Armrest</t>
  </si>
  <si>
    <t>178 (pkg of 10)</t>
  </si>
  <si>
    <t>75 (min.of 10)</t>
  </si>
  <si>
    <t>Removable Gurney Mount</t>
  </si>
  <si>
    <t>PA System</t>
  </si>
  <si>
    <t>Jumper Cables</t>
  </si>
  <si>
    <t>Lug Wrench</t>
  </si>
  <si>
    <t>Full body Paint</t>
  </si>
  <si>
    <t>QUOTE</t>
  </si>
  <si>
    <t>ProAir 12HD - 70k BTU</t>
  </si>
  <si>
    <t>ProAir RT 6595 - 65k BTU</t>
  </si>
  <si>
    <t xml:space="preserve">TransAir 25 - 37k BTU </t>
  </si>
  <si>
    <t>TransAir RT60 - 75k BTU (Roof Mount)</t>
  </si>
  <si>
    <t>Abilitrax Flooring system - 150</t>
  </si>
  <si>
    <t>Abilitrax Flooring system - 350</t>
  </si>
  <si>
    <t>Abilitrax Flooring system - 350EL</t>
  </si>
  <si>
    <t xml:space="preserve">Ricon ClearView </t>
  </si>
  <si>
    <t>Propose Commercial Version meeting FMVSS and ADA only if applicable</t>
  </si>
  <si>
    <t>Qstraint Incline</t>
  </si>
  <si>
    <t>For RE vans only if applicable</t>
  </si>
  <si>
    <t>Qstraint OMNI floor</t>
  </si>
  <si>
    <t>Ford Transit</t>
  </si>
  <si>
    <t>Driverge</t>
  </si>
  <si>
    <t>V150, V350, V350EL</t>
  </si>
  <si>
    <t>Shift-n-Step</t>
  </si>
  <si>
    <t>V150</t>
  </si>
  <si>
    <t>N/A See option 5</t>
  </si>
  <si>
    <t>V350</t>
  </si>
  <si>
    <t>V350EL</t>
  </si>
  <si>
    <t>Curbside front door modification</t>
  </si>
  <si>
    <t>Smartfloor System</t>
  </si>
  <si>
    <t>All Wheel Drive Option</t>
  </si>
  <si>
    <t>Rear only</t>
  </si>
  <si>
    <t>Only Available on 350 EL</t>
  </si>
  <si>
    <t>Ford basecoat clearcoat codes only. Custom quotes available.</t>
  </si>
  <si>
    <t>Abilitrax Flooring system</t>
  </si>
  <si>
    <t>Interior Sign for Flexspeak</t>
  </si>
  <si>
    <t>MobilityTrans</t>
  </si>
  <si>
    <t>Safe-T-Bus</t>
  </si>
  <si>
    <t>N/A See Option 2</t>
  </si>
  <si>
    <t>Only available on 350</t>
  </si>
  <si>
    <t xml:space="preserve">Side Mounted Wheel Chair Lift </t>
  </si>
  <si>
    <t xml:space="preserve">Alternate paratransit / Ambulatory side entry </t>
  </si>
  <si>
    <t xml:space="preserve">Ford OEM front overhead shelf </t>
  </si>
  <si>
    <t>253 deg rear door opening</t>
  </si>
  <si>
    <t xml:space="preserve">Power Sliding door </t>
  </si>
  <si>
    <t>Increased Roof Height for Class V 350</t>
  </si>
  <si>
    <t>EZ Safe Flooring System</t>
  </si>
  <si>
    <t>Privacy Glass for Transit Chassis</t>
  </si>
  <si>
    <t>Limited Slip for Transit Chassis</t>
  </si>
  <si>
    <t>Twin Air 1000 Roof Mount A/C</t>
  </si>
  <si>
    <t>Twin Air FFR Rear A/C &amp; Heat</t>
  </si>
  <si>
    <t>SMART Floor System - 150</t>
  </si>
  <si>
    <t>SMART Floor System - 350</t>
  </si>
  <si>
    <t>SMART Floor System - 350 EL</t>
  </si>
  <si>
    <t>Abilitrax Flooring System - 150</t>
  </si>
  <si>
    <t>Abilitrax Flooring System - 350</t>
  </si>
  <si>
    <t>Abilitrax Flooring System - 350EL</t>
  </si>
  <si>
    <t>Freedman Level #6 Nanocide Per Seat</t>
  </si>
  <si>
    <t>TCI Mobility</t>
  </si>
  <si>
    <t>Class V, 150 Transit Style Shuttle Van (SIDE LIFT) Base Price</t>
  </si>
  <si>
    <t>Class V, 350 Transit Style Shuttle Van (SIDE LIFT) Base Price</t>
  </si>
  <si>
    <t>Class V, 350 EL Transit Style Shuttle Van (SIDE LIFT) Base Price</t>
  </si>
  <si>
    <t>TCI Mobility Driver Shield</t>
  </si>
  <si>
    <t>Abilitrax Flooring System - 350 EL</t>
  </si>
  <si>
    <t>TCI Vertical L Track Floor - 150</t>
  </si>
  <si>
    <t>TCI Vertical L Track Floor - 350</t>
  </si>
  <si>
    <t>TCI Vertical L Track Floor - 350 EL</t>
  </si>
  <si>
    <t>Ricon ClearView 1,000lb</t>
  </si>
  <si>
    <t>52" Angled L Track for Sidewall</t>
  </si>
  <si>
    <t>OMNI Floor - 150</t>
  </si>
  <si>
    <t>OMNI Floor - 350</t>
  </si>
  <si>
    <t>OMNI Floor - 350 EL</t>
  </si>
  <si>
    <t>Master's Specialty Vehicles</t>
  </si>
  <si>
    <t>150 Transit</t>
  </si>
  <si>
    <t>350 Transit - 8 +1 WC + Driver Wood Floor</t>
  </si>
  <si>
    <t>350 EL Transit - 9 + 2 WC + Driver Wood Floor</t>
  </si>
  <si>
    <t>350 Transit - 8 + 1 WC + Driver Pareto Floor</t>
  </si>
  <si>
    <t>350 EL Transit - 8 + 2 WC + Driver Pareto Floor</t>
  </si>
  <si>
    <t>350 Transit - 8 + 1 WC + Driver AbiliTrax Floor</t>
  </si>
  <si>
    <t>350 EL Transit - 8 + 2 WC + Driver AbiliTrax Floor</t>
  </si>
  <si>
    <t>Master's Transportation</t>
  </si>
  <si>
    <t>Modular Track Floor System - Pareto Flooring Rear Lift</t>
  </si>
  <si>
    <t>150 Transit - 3 + 1 WC + Driver</t>
  </si>
  <si>
    <t>350 Transit - 6 + 2 WC + Driver</t>
  </si>
  <si>
    <t>350 EL Transit - 6 + 3 WC + Driver</t>
  </si>
  <si>
    <t>Included in Base Price</t>
  </si>
  <si>
    <t>*Available as a REAR LIFT ONLY</t>
  </si>
  <si>
    <t>USB Power Dual Outlet, each</t>
  </si>
  <si>
    <t>1 per row; (4) streetside is standard</t>
  </si>
  <si>
    <t>Double Integrated Child Seat</t>
  </si>
  <si>
    <t>Available on Freedman Seats only</t>
  </si>
  <si>
    <t>Flip up Armrest, each</t>
  </si>
  <si>
    <t>Available Metallic Colors:</t>
  </si>
  <si>
    <t>Oxford White</t>
  </si>
  <si>
    <t>Race Red</t>
  </si>
  <si>
    <t>Kapoor Red</t>
  </si>
  <si>
    <t>Blue Jeans</t>
  </si>
  <si>
    <t>Ingot Silver</t>
  </si>
  <si>
    <t>Avalance Gray</t>
  </si>
  <si>
    <t>Abyss Gray</t>
  </si>
  <si>
    <t>Carbonized Gray</t>
  </si>
  <si>
    <t>Agate Black</t>
  </si>
  <si>
    <t>NA  See item 56 below</t>
  </si>
  <si>
    <t>Abilitrax Flooring system - Rear Lift</t>
  </si>
  <si>
    <t>T350 Extended Length</t>
  </si>
  <si>
    <t>Substitute ProAir Ford Transit floor mount with heat and duct cover, cooling 38,000 BTU  heat 59,000 BTU</t>
  </si>
  <si>
    <t>Gaseous Prep</t>
  </si>
  <si>
    <t>Ford does not offer a gaseous prep on 2021 Ford Transit's</t>
  </si>
  <si>
    <t>Moveable seat legs for Pareto floor</t>
  </si>
  <si>
    <t>Per Single Seat</t>
  </si>
  <si>
    <t>Per Double Seat</t>
  </si>
  <si>
    <t>Foldaway Seat</t>
  </si>
  <si>
    <t>Enhanced OEM Warranty</t>
  </si>
  <si>
    <t>**One additional year of MSV conversion only coverage</t>
  </si>
  <si>
    <t>**10 days rental of a 12+2  or smaller bus</t>
  </si>
  <si>
    <t>Sunset Vans</t>
  </si>
  <si>
    <t xml:space="preserve">Ford Transit </t>
  </si>
  <si>
    <t>Per Seat</t>
  </si>
  <si>
    <t>Per 10 Pack</t>
  </si>
  <si>
    <t>Limited Color Selection</t>
  </si>
  <si>
    <t xml:space="preserve">Only for 350 EL Model </t>
  </si>
  <si>
    <t xml:space="preserve">ANTI MICROBIAL ABS INTERIOR Replacing OEM Interior </t>
  </si>
  <si>
    <t xml:space="preserve">350 Model </t>
  </si>
  <si>
    <t xml:space="preserve">350 EL Model </t>
  </si>
  <si>
    <t xml:space="preserve">ABC Bus Sales </t>
  </si>
  <si>
    <t xml:space="preserve">Jay Oakman </t>
  </si>
  <si>
    <t>jroakman@abc-companies.com</t>
  </si>
  <si>
    <t>(407) 466.0506</t>
  </si>
  <si>
    <t>NorCal</t>
  </si>
  <si>
    <t>Clay Hartmann</t>
  </si>
  <si>
    <t>chartmann@a-zbus.com</t>
  </si>
  <si>
    <t>SoCal</t>
  </si>
  <si>
    <t>Kelly Mills</t>
  </si>
  <si>
    <t>kmills@a-zbus.com</t>
  </si>
  <si>
    <t>(916) 217-3469</t>
  </si>
  <si>
    <t xml:space="preserve">Steve Chung </t>
  </si>
  <si>
    <t>stevec@creativebussales.com</t>
  </si>
  <si>
    <t>Don White</t>
  </si>
  <si>
    <t>DonW@creativebussales.com</t>
  </si>
  <si>
    <t>Mike Farr</t>
  </si>
  <si>
    <t>(909) 730-5319</t>
  </si>
  <si>
    <t>(951) 403-5089</t>
  </si>
  <si>
    <t>mikef@creativebussales.com</t>
  </si>
  <si>
    <t>Jay Holzuter</t>
  </si>
  <si>
    <t>jayh@creativebussales.com</t>
  </si>
  <si>
    <t>(650) 222-2621</t>
  </si>
  <si>
    <t>(714) 309-0688</t>
  </si>
  <si>
    <t>(909) 549-9398</t>
  </si>
  <si>
    <t>Dan Williams</t>
  </si>
  <si>
    <t>(650) 222-2618</t>
  </si>
  <si>
    <t>dan@creativebussales.com</t>
  </si>
  <si>
    <t xml:space="preserve">Davey Coach </t>
  </si>
  <si>
    <t xml:space="preserve">George Altevogt </t>
  </si>
  <si>
    <t>(424) 901-3301</t>
  </si>
  <si>
    <t>georgea@daveycoach.com</t>
  </si>
  <si>
    <t>Masters MSV</t>
  </si>
  <si>
    <t>Jerry Locken</t>
  </si>
  <si>
    <t>jlocken@masterstransportation.com</t>
  </si>
  <si>
    <t>(909) 573-8229</t>
  </si>
  <si>
    <t>Amy McCall</t>
  </si>
  <si>
    <t>(574) 370-0139</t>
  </si>
  <si>
    <t>amccall@masterstransportation.com</t>
  </si>
  <si>
    <t>Joe Machin</t>
  </si>
  <si>
    <t>joe@robussales.com</t>
  </si>
  <si>
    <t>(702) 523-6063</t>
  </si>
  <si>
    <t>Primary</t>
  </si>
  <si>
    <t xml:space="preserve">Brian OConnell </t>
  </si>
  <si>
    <t>Boconnell@abc-companies.com</t>
  </si>
  <si>
    <t>(800) 322-2877 ext.60722</t>
  </si>
  <si>
    <t xml:space="preserve">*CNG version is pending Altoona test </t>
  </si>
  <si>
    <t>Spirit of Mobility (Ford E450)</t>
  </si>
  <si>
    <t>De</t>
  </si>
  <si>
    <t>Delivery Zones</t>
  </si>
  <si>
    <t>The State of California has been divided into five (5) delivery zones.  Each zone is comprised of multiple counties as listed below:</t>
  </si>
  <si>
    <t>Zone 1: Riverside, San Bernardino, San Diego, Imperial</t>
  </si>
  <si>
    <t>Zone 3: San Luis Obispo, Kern, Tulare, Inyo, Fresno, Madera, Mono, Mariposa, Tuolomne, Alpine, Merced, Stanislaus, San Benito, Monterey, Santa Cruz, Kings</t>
  </si>
  <si>
    <t>Zone 4: San Francisco, Marin, Sonoma, Sacramento, Sutter, El Dorado, Placer, Nevada, Amador, San Joaquin, Calaveras, Yolo, Colusa, Contra Costa</t>
  </si>
  <si>
    <t>Zone 5: Mendocino, Glenn, Butte, Plumas, Lassen, Shasta, Tehama, Tehama, Modoc, Siskiyou, Trinity, Humboldt, Del Norte, Modoc</t>
  </si>
  <si>
    <t>Cole Crockett</t>
  </si>
  <si>
    <t>ccrockett@a-zbus.com</t>
  </si>
  <si>
    <t>(714)294-4019</t>
  </si>
  <si>
    <t>23'/16/12 +2</t>
  </si>
  <si>
    <t>28'/22/18+2</t>
  </si>
  <si>
    <t>26'/20/16+2</t>
  </si>
  <si>
    <t>28'/21/15+2</t>
  </si>
  <si>
    <t>26'/17/11+2</t>
  </si>
  <si>
    <t>36-38'</t>
  </si>
  <si>
    <t xml:space="preserve">Note-TurtleTop F-550's are only approved by FTA in the 5 year/150k mile category for Altoona testing. </t>
  </si>
  <si>
    <t xml:space="preserve">This configuration is not eligible for CalTrans subrecipients for pass-thru FTA funding. </t>
  </si>
  <si>
    <t>These are assignable for Caltrans non-FTA and for FTA direct recipients. Please contact us for details.</t>
  </si>
  <si>
    <t>See 140</t>
  </si>
  <si>
    <t>Included</t>
  </si>
  <si>
    <t>Safefleet</t>
  </si>
  <si>
    <t>One window</t>
  </si>
  <si>
    <t>Horizon SMT</t>
  </si>
  <si>
    <t>29 GGE Std</t>
  </si>
  <si>
    <t>special order chassis</t>
  </si>
  <si>
    <t>Thermal Window Film/Covering Per window</t>
  </si>
  <si>
    <t>*Includes 2023 Chassis price;orders must be placed by September 2nd to hold this price; 2024 chassis price is not available at this time;new pricing will be provided upon 2024 price release</t>
  </si>
  <si>
    <t>NA Co-pilot Door</t>
  </si>
  <si>
    <t>NA Ford Transit</t>
  </si>
  <si>
    <t>$900.00 EACH</t>
  </si>
  <si>
    <t>$800.00 EACH</t>
  </si>
  <si>
    <t>$700.00 EACH</t>
  </si>
  <si>
    <t>$450.00 EACH</t>
  </si>
  <si>
    <t>$600.00 EACH</t>
  </si>
  <si>
    <t>NEW</t>
  </si>
  <si>
    <t>Revised</t>
  </si>
  <si>
    <t>N/A (360 Only)</t>
  </si>
  <si>
    <t>ACC 70K BTU Split System</t>
  </si>
  <si>
    <t>ACC 95K BTU (Roof Mount)</t>
  </si>
  <si>
    <t>Transpec Advantage</t>
  </si>
  <si>
    <t>See option 33</t>
  </si>
  <si>
    <t>Rear row only</t>
  </si>
  <si>
    <t>Commercial Version Only if available</t>
  </si>
  <si>
    <t>2 Pass Foldaway</t>
  </si>
  <si>
    <t>60/40 Rear Bench</t>
  </si>
  <si>
    <t>Diesel Only</t>
  </si>
  <si>
    <t>N/A See option 6</t>
  </si>
  <si>
    <t>N/A See option 7</t>
  </si>
  <si>
    <t>U4X/U5X</t>
  </si>
  <si>
    <t>Rear Lift curbside</t>
  </si>
  <si>
    <t>Highlighed cells represent updated Pricing-Force Majeure Effective 08122022</t>
  </si>
  <si>
    <t>Please contact us for cost analysis documentation for your procurement files</t>
  </si>
  <si>
    <r>
      <t xml:space="preserve">Child Seat -- </t>
    </r>
    <r>
      <rPr>
        <sz val="11"/>
        <color theme="1"/>
        <rFont val="Calibri"/>
        <family val="2"/>
        <scheme val="minor"/>
      </rPr>
      <t>Single Integrated Child Seat</t>
    </r>
  </si>
  <si>
    <r>
      <t>Qstraint OMNI floor</t>
    </r>
    <r>
      <rPr>
        <sz val="11"/>
        <color theme="1"/>
        <rFont val="Calibri"/>
        <family val="2"/>
        <scheme val="minor"/>
      </rPr>
      <t xml:space="preserve"> - T150 and T350</t>
    </r>
  </si>
  <si>
    <t>Incl</t>
  </si>
  <si>
    <t>requires GO-ES seating</t>
  </si>
  <si>
    <t>2023 chassis</t>
  </si>
  <si>
    <t>Zone 2: Los Angeles, Orange, Santa Barbara, Ventura</t>
  </si>
  <si>
    <t>Davey delivery pricing is quoted from factory to location.</t>
  </si>
  <si>
    <t>Davey delivery pricing Is quoted from factory to location.</t>
  </si>
  <si>
    <t>Davey delivery pricing is quoted from location</t>
  </si>
  <si>
    <t>2024 chassis pricing eff. 01062023</t>
  </si>
  <si>
    <t>2024 Chassis Pricing (Check with dealer on availability)</t>
  </si>
  <si>
    <t>Current Pricing Unavailable</t>
  </si>
  <si>
    <t>Unless noted otherwise, the list is updated for 2024 chassis.</t>
  </si>
  <si>
    <t xml:space="preserve">2024 Chassis Pricing </t>
  </si>
  <si>
    <t>effective 02062023</t>
  </si>
  <si>
    <t>unless noted otherwise</t>
  </si>
  <si>
    <t>FRT 2023 Chassis</t>
  </si>
  <si>
    <t>effective 01062023</t>
  </si>
  <si>
    <t>2023 FRT Chassis Pricing</t>
  </si>
  <si>
    <t>GM 2023 Chassis Pricing</t>
  </si>
  <si>
    <t>BRAUN/Lone Star Van</t>
  </si>
  <si>
    <t>2024 Chassis</t>
  </si>
  <si>
    <t>136" currently NA, price may be adjusted pending availability of chassis</t>
  </si>
  <si>
    <t>Please note Davey Coach delivery pricing is quoted from factory to location, higher price should be noted in comparing prices</t>
  </si>
  <si>
    <t>Please note Davey Coach delivery pricing is quoted from factory to location, delivery cost should be noted in comparing prices</t>
  </si>
  <si>
    <t>COACH AND EQUIPMENT-UES</t>
  </si>
  <si>
    <t>Class Z2-BEB Transit Cutaway</t>
  </si>
  <si>
    <t>Class Z2</t>
  </si>
  <si>
    <t>12+2</t>
  </si>
  <si>
    <t>(Submit floorplans in technical proposal)</t>
  </si>
  <si>
    <t>Class Z-2 (GM) 12+2</t>
  </si>
  <si>
    <t>16+2</t>
  </si>
  <si>
    <t>Class Z-2 (GM) 16+2</t>
  </si>
  <si>
    <t>Stop Request System (w/sign)</t>
  </si>
  <si>
    <t>Go-ES Single Foldaway Seat</t>
  </si>
  <si>
    <t>Tire Chains (wrap around outside duals)</t>
  </si>
  <si>
    <t>Go-ES Single Flip Seat</t>
  </si>
  <si>
    <t>Driver, Mgr, Mechanic On site Training, plus travel costs</t>
  </si>
  <si>
    <t>STANDARD</t>
  </si>
  <si>
    <t>Training as above, 2 sessions, includes travel</t>
  </si>
  <si>
    <t>Diagnostic Tool (One bus, hardware package)</t>
  </si>
  <si>
    <t>Annual Software Maintenance-Per Bus</t>
  </si>
  <si>
    <t>First Year to be Provided per spec</t>
  </si>
  <si>
    <t>Battery Pack Option 1</t>
  </si>
  <si>
    <t>Identify (if available) additional enhanced battery packages. Describe capacity and range.Add lines as needed.</t>
  </si>
  <si>
    <t>Battery Pack Option 2</t>
  </si>
  <si>
    <t>Charging Station Level 2</t>
  </si>
  <si>
    <t>Add and identify additional charging options available below</t>
  </si>
  <si>
    <t>"Space Age" Thermo Plastic Flooring</t>
  </si>
  <si>
    <t>Amerex Fire Suppression w/Detection</t>
  </si>
  <si>
    <t>Q-straint Q'One</t>
  </si>
  <si>
    <t>Kidde Fire Supression w/Detection</t>
  </si>
  <si>
    <t>Freedman GO-ES XL Per substitution</t>
  </si>
  <si>
    <t xml:space="preserve">Intermotive BOBe for OBD </t>
  </si>
  <si>
    <t>FlexSpeak (voice only)</t>
  </si>
  <si>
    <t>M Power Aluminum Lift</t>
  </si>
  <si>
    <t>C&amp;E Version</t>
  </si>
  <si>
    <t>Raised Flat Floor - (West Coast Style) 1/2 Step Behind Driver</t>
  </si>
  <si>
    <t>Blank</t>
  </si>
  <si>
    <t>ABC BUS SALES</t>
  </si>
  <si>
    <t>STATUS (3/1/2023)</t>
  </si>
  <si>
    <t>Altoona Pending: Federally funded acquisitions may be ordered, but delivery must take place after passed test.</t>
  </si>
  <si>
    <t>Contract executed, Buy America Completed, Preawards executed</t>
  </si>
  <si>
    <t>Non-federal orders may proceed and be delivered.</t>
  </si>
  <si>
    <t>Standard Track &lt;Credit&gt; If Full Length Track Ordered (Each Position)</t>
  </si>
  <si>
    <t>Intermotive FlexSpeak (Add Pair w/Transign)</t>
  </si>
  <si>
    <t xml:space="preserve">CoachWest Endera </t>
  </si>
  <si>
    <t>standard</t>
  </si>
  <si>
    <t>Davey Coach Sales, LLC</t>
  </si>
  <si>
    <t>Turtle Top Odyssey - Optimal EV</t>
  </si>
  <si>
    <t>Class Z2 (GM) 12+2</t>
  </si>
  <si>
    <t>Class Z2 (GM) 16+2</t>
  </si>
  <si>
    <t>No Charge</t>
  </si>
  <si>
    <t>Telematics - Annual Cost Per Year After Year #1</t>
  </si>
  <si>
    <t>Turtle Top Terra Transit - Optimal EV</t>
  </si>
  <si>
    <t>Davey TT Terra Optimal</t>
  </si>
  <si>
    <t>Davey TT Odyssey Optimal</t>
  </si>
  <si>
    <r>
      <t>CrossOver Mirror</t>
    </r>
    <r>
      <rPr>
        <b/>
        <sz val="11"/>
        <rFont val="Calibri"/>
        <family val="2"/>
        <scheme val="minor"/>
      </rPr>
      <t xml:space="preserve"> </t>
    </r>
  </si>
  <si>
    <t>STATUS (4/12/2023)</t>
  </si>
  <si>
    <t xml:space="preserve">ABC Optimal S1 </t>
  </si>
  <si>
    <t>Dealer</t>
  </si>
  <si>
    <t>A-Z Bus Sales, Inc</t>
  </si>
  <si>
    <t>Class Z1-BEB Transit Style Shuttle Van</t>
  </si>
  <si>
    <t>Class Z1</t>
  </si>
  <si>
    <t>Z-1 E-Transit (ER)</t>
  </si>
  <si>
    <t>100" Midroof W9C 130" WB 3+copilot, driver and wc</t>
  </si>
  <si>
    <t>Z-1 E-Transit (Basic)</t>
  </si>
  <si>
    <t>100" Midroof E W9C 148" WB 3+copilot, driver and WC</t>
  </si>
  <si>
    <t>109" Hiroof E W1X 148 WB" 3+copilot, driver and WC</t>
  </si>
  <si>
    <t>Z-1 (EL) E-Transit (ER)</t>
  </si>
  <si>
    <t>109" Hiroof EL W3X 148" WB 6+copilot, driver and WC</t>
  </si>
  <si>
    <t>Z-1 (EL) E-Transit (Basic)</t>
  </si>
  <si>
    <t>Mark "NA" for unavailable or innaplicable items</t>
  </si>
  <si>
    <t>Shift-n-Step Delete (For rear WC)</t>
  </si>
  <si>
    <t>Recommend using high roof model for this if agency anticipates ambulatory passengers using rear wc lift. (mid roof entry is low)</t>
  </si>
  <si>
    <t>Inc</t>
  </si>
  <si>
    <t>See #1</t>
  </si>
  <si>
    <t>Curbside front door modification (as described in spec)</t>
  </si>
  <si>
    <t>Amerex Fire Suppression w/detection</t>
  </si>
  <si>
    <t>Kidde Fire Suppression w/detection</t>
  </si>
  <si>
    <t>If available, NA otherwise</t>
  </si>
  <si>
    <t>Q Straint QRT 8300</t>
  </si>
  <si>
    <t>N/C</t>
  </si>
  <si>
    <t>Freedman Seat Link System (per seat) battery version</t>
  </si>
  <si>
    <t>Std on Z-1(D)</t>
  </si>
  <si>
    <t>GO ES with 3 pt seating</t>
  </si>
  <si>
    <t>First Year to be Provided</t>
  </si>
  <si>
    <t>Name model/unit and describe</t>
  </si>
  <si>
    <t>Z-1D only</t>
  </si>
  <si>
    <t>M Power aluminum Lift</t>
  </si>
  <si>
    <t>360 cameras</t>
  </si>
  <si>
    <t>see #30</t>
  </si>
  <si>
    <t>Hard wired version of Seat link</t>
  </si>
  <si>
    <t>Intermotive BOBe</t>
  </si>
  <si>
    <t>Second mobility position (Inc restraints)</t>
  </si>
  <si>
    <t>QStraint QUBE</t>
  </si>
  <si>
    <t>QStraint Q1</t>
  </si>
  <si>
    <t>Credit for QRT deluxe change</t>
  </si>
  <si>
    <t>(In lieu of specified 360)</t>
  </si>
  <si>
    <t>Credit for bus door delete if bus door is put as standard</t>
  </si>
  <si>
    <t>Front passenger seat delete+ add equipment tower</t>
  </si>
  <si>
    <t xml:space="preserve">Floor ADA designation for dedicated ADA securement position. </t>
  </si>
  <si>
    <t>Gerflor to Print</t>
  </si>
  <si>
    <t>Track mount on wall behind drive to store QRT</t>
  </si>
  <si>
    <t>Handrail street side rear wall to assist far rear seat passengers.</t>
  </si>
  <si>
    <t>na</t>
  </si>
  <si>
    <t>CRS for seats (should be standard these days)</t>
  </si>
  <si>
    <t>Mid roof option for Z1 LF (Ram)</t>
  </si>
  <si>
    <t>(Credit)</t>
  </si>
  <si>
    <t>Fenton Dual Aux battery SBSFT31.6 148/E for E-Transit</t>
  </si>
  <si>
    <t>In lieu of single aux battery</t>
  </si>
  <si>
    <t>WC Lift installed behind curbside rear axle</t>
  </si>
  <si>
    <t>Pending Altoona test or concurrence testing is not necessary</t>
  </si>
  <si>
    <t>Fenton "Secondary Jump Start" Accessory</t>
  </si>
  <si>
    <t>(provide Model and technical information)</t>
  </si>
  <si>
    <t>(credit) for customers wanting OEM ac only.</t>
  </si>
  <si>
    <t>Fenton Camera/ Telematics System</t>
  </si>
  <si>
    <t>Pareto Flooring with OEM seats</t>
  </si>
  <si>
    <t>(Credit if applicable, priceor credit  per seat)</t>
  </si>
  <si>
    <t>If OEM</t>
  </si>
  <si>
    <t>Fixed "non removable) seat base</t>
  </si>
  <si>
    <t>(Credit per seat)</t>
  </si>
  <si>
    <t>Delivery is to be quoted from in state point of service, not from factory. May be taxable.</t>
  </si>
  <si>
    <t>Secondary battery (without aux ac for accessories)</t>
  </si>
  <si>
    <t>Describe</t>
  </si>
  <si>
    <t>AMF Silver</t>
  </si>
  <si>
    <t>Credit or upcharge price in lieu of specified</t>
  </si>
  <si>
    <t>AMF Platinum</t>
  </si>
  <si>
    <t>See Option 3</t>
  </si>
  <si>
    <t>Rear Mounted NHTSA Compliant Braun Century Lift in lieu of Shift N Step</t>
  </si>
  <si>
    <t>Na</t>
  </si>
  <si>
    <t>In lieu of standard/base Shift N Step. Only available on High Roof Extended Length (Z1-EL)</t>
  </si>
  <si>
    <t>Ford paint codes only</t>
  </si>
  <si>
    <t>*ER variant has secondary battery and aux ac as standard. Enhanced cooling and heating. This will require a separate charger. "Basic" variant relies on OEM HVAC and traction battery only.</t>
  </si>
  <si>
    <t>Forest River/Mobility Trans</t>
  </si>
  <si>
    <t>Yellow Highlighed cells represent updated Pricing-Force Majeure Effective 01062023</t>
  </si>
  <si>
    <t>Effective 09092023</t>
  </si>
  <si>
    <t>Highlighedyellow  cells represent updated Pricing-Force Majeure Effective 08122022, update 02062023 for 2024 chassis</t>
  </si>
  <si>
    <t>ARBOC Price increase due 12/5/2023</t>
  </si>
  <si>
    <t>Year One Extension effective 09092023</t>
  </si>
  <si>
    <t>PRICE INCREASE DUE 11/22/2023</t>
  </si>
  <si>
    <t>RFP 20-01 Option Year One Calculation</t>
  </si>
  <si>
    <t>Link for the WPU Index table (Where data was obtained)</t>
  </si>
  <si>
    <t>PPI Commodity Data  Transportation Equipment Truck and Bus Bodies</t>
  </si>
  <si>
    <t>Series ID WPU 1413</t>
  </si>
  <si>
    <t>Producer Price Index by Commodity: Transportation Equipment: Truck and Bus Bodies (WPU1413) | FRED | St. Louis Fed</t>
  </si>
  <si>
    <t>Not Seasonally Adjusted</t>
  </si>
  <si>
    <t>Group:      Transportation equipment</t>
  </si>
  <si>
    <t>Item:       Truck and bus bodies</t>
  </si>
  <si>
    <t>Base Date:  August 2022</t>
  </si>
  <si>
    <t>(Due to Force Majeure date instead of original contract date)</t>
  </si>
  <si>
    <t>A) Simple Percentage Method:</t>
  </si>
  <si>
    <t>Index at time of calculation (Sept 2023)</t>
  </si>
  <si>
    <t>Divided by Index at time base price was set (Aug 2022)</t>
  </si>
  <si>
    <t>Equals</t>
  </si>
  <si>
    <t>(Aug 12, 2022 Force Majeure Date)</t>
  </si>
  <si>
    <t>The price to be increased by 4.9%'</t>
  </si>
  <si>
    <t>Force Majeure Date</t>
  </si>
  <si>
    <t>For September 9, 2023 Extensions</t>
  </si>
  <si>
    <t>Class B GM Gasoline (GM 4500)</t>
  </si>
  <si>
    <t>Class C GM Gasoline (GM 4500)</t>
  </si>
  <si>
    <t>*</t>
  </si>
  <si>
    <t>*Amended to add 11/6/2023</t>
  </si>
  <si>
    <t>Class Z1 LF 159" Ram</t>
  </si>
  <si>
    <t>(Ram or AE) 5+copilot +WC</t>
  </si>
  <si>
    <t xml:space="preserve">First Year to be Provided. Telematics Support Package. Price per year. </t>
  </si>
  <si>
    <t>Gerflor to Print, For Ram 159 &amp; E-Transit</t>
  </si>
  <si>
    <t xml:space="preserve">6 Standard on Ram </t>
  </si>
  <si>
    <t>Fast Charge Upgrade, RAM 159 BEV, Level 3 Charging Kit, for DC Fast Charge up to 200kw</t>
  </si>
  <si>
    <t xml:space="preserve">For Ram Model Only </t>
  </si>
  <si>
    <t xml:space="preserve">Solar Panel Charging Kit, RAM 159 BEV, 1.4kw solar panels, 200v High Output Smart Charging Modulator </t>
  </si>
  <si>
    <t>Secondary Heater rear for Cold weather</t>
  </si>
  <si>
    <t>Dual Zone Heat Pump</t>
  </si>
  <si>
    <t>7000w 120v/240 OnBoard AC inverter</t>
  </si>
  <si>
    <t>Extended Range Battery Pack 160kw Total Range (Reduction of passenger capacity)</t>
  </si>
  <si>
    <t>Printed Name, Title</t>
  </si>
  <si>
    <t xml:space="preserve">Joe Machin, Managing Member </t>
  </si>
  <si>
    <t>Signature</t>
  </si>
  <si>
    <t>Company Name</t>
  </si>
  <si>
    <t>Date</t>
  </si>
  <si>
    <t>Signatory represents he/she has authority to bind company named to the bid submitted and any contract awarded.</t>
  </si>
  <si>
    <t xml:space="preserve">Dealer </t>
  </si>
  <si>
    <t xml:space="preserve">RO Bus Sales </t>
  </si>
  <si>
    <t>Mfr/Model</t>
  </si>
  <si>
    <t>Sunset Ram ProMaster 159 Low Floor</t>
  </si>
  <si>
    <t>Pending Altoona Test Results</t>
  </si>
  <si>
    <t>Inc chassis adjustment 2023</t>
  </si>
  <si>
    <t>Base Date:  September 2021</t>
  </si>
  <si>
    <t>Adjusted to Aug 2022 due to Force Majeure except for RO Bus Transits adjusted on 12/22</t>
  </si>
  <si>
    <t>For AZ Diamond and VMI, RO Bus ProMaster</t>
  </si>
  <si>
    <t>Index at time of calculation (Oct 2023)</t>
  </si>
  <si>
    <t>Divided by Index at time base price was set (November 2022)</t>
  </si>
  <si>
    <t>Divided by Index at time base price was set (Dec 2022)</t>
  </si>
  <si>
    <t>The price to be increased by 3.1%'</t>
  </si>
  <si>
    <t>Force Majeure Date AZ Bus Diamond and VMI, RO Bus ProMaster</t>
  </si>
  <si>
    <t>Force Majeur Date RO Bus Transits</t>
  </si>
  <si>
    <t>For RO Bus Ford SUNSET Transits</t>
  </si>
  <si>
    <t>For AZ Diamond and RO Sunset Only</t>
  </si>
  <si>
    <t>Index at time of calculation (Nov 2023)</t>
  </si>
  <si>
    <t xml:space="preserve">Contract Award </t>
  </si>
  <si>
    <t>Force Majeure Date ARBOC and Eldorado</t>
  </si>
  <si>
    <t>The price to be increased by 5.3%'</t>
  </si>
  <si>
    <t>Increase is due 12/8</t>
  </si>
  <si>
    <t xml:space="preserve">ARBOC Year One increase </t>
  </si>
  <si>
    <t>For Model 1 ARBOC Only</t>
  </si>
  <si>
    <t>For M1 ARBOC buses</t>
  </si>
  <si>
    <t xml:space="preserve">Adjusted to Aug 2022 due to Force Majeure </t>
  </si>
  <si>
    <t>Year One extension effective 9/9/2023 includes 12/20/23 chassis adjustment for 2024</t>
  </si>
  <si>
    <t>Includes 2024 Chassis adjustment 12/20/2023</t>
  </si>
  <si>
    <t xml:space="preserve">For 2024 Chassis </t>
  </si>
  <si>
    <t>Contract Award-Price Set</t>
  </si>
  <si>
    <t>Date of Calculation</t>
  </si>
  <si>
    <t>Index at time of calculation (Feb 2024)</t>
  </si>
  <si>
    <t>Divided by Index at time base price was set (March 2023)</t>
  </si>
  <si>
    <t>Option Year One (Eff 2/23/2024) Pricing</t>
  </si>
  <si>
    <t>Reflects chassis adjusments made 9/9/2023 and 3/14/2024</t>
  </si>
  <si>
    <t xml:space="preserve">Reflects chassis price adjustment effective 3/22/2024 on '24 chassis with larger 89.9  kwh battery. </t>
  </si>
  <si>
    <t>Model 1 (Creative Bus Sales)</t>
  </si>
  <si>
    <t>For Coach &amp; Eqpt UEI and Endera</t>
  </si>
  <si>
    <t>For Davey Coach Optimal</t>
  </si>
  <si>
    <t>Davey Coach Optimal Only</t>
  </si>
  <si>
    <t>The price to be increased by 3.8%'</t>
  </si>
  <si>
    <t>Index at time of calculation (March 2024)</t>
  </si>
  <si>
    <t>Divided by Index at time base price was set (April 2023)</t>
  </si>
  <si>
    <t>For Coach and Equipmen and Endera Z-2 Cutaway Only</t>
  </si>
  <si>
    <t>RFP 20-01 ZEB Option Year One Calculation</t>
  </si>
  <si>
    <t>Thermal Window Film/Covering (Per window)</t>
  </si>
  <si>
    <t>PENDING EXTENSION</t>
  </si>
  <si>
    <t>Battery Pack Option 1 (130 kwh)</t>
  </si>
  <si>
    <t>Battery Pack Option 2 (150 kwh)</t>
  </si>
  <si>
    <t>Battery Pack Option 3 (226 kwh)</t>
  </si>
  <si>
    <t>See Below</t>
  </si>
  <si>
    <t>Locking Rear Door w/Alarm &amp; Windows Either Side</t>
  </si>
  <si>
    <t>Hanover Stop Announcement w/Interior Monitor</t>
  </si>
  <si>
    <t>Hanover License Fee (One Time Fee)</t>
  </si>
  <si>
    <t>Onboard AC charger upgrade 13.2 KW input rating</t>
  </si>
  <si>
    <t>Onboard AC charger upgrade 19.8KW input rating</t>
  </si>
  <si>
    <t>Upgrade level 3 DC fast charge capability</t>
  </si>
  <si>
    <t xml:space="preserve">Charging Station Level 3, 50 KW </t>
  </si>
  <si>
    <t>Charging station  Level 2, 7.7  KW AC</t>
  </si>
  <si>
    <t>Charging station Level 2,  15.2  KW AC</t>
  </si>
  <si>
    <t>Charging station Level 2,  19.2 KW AC</t>
  </si>
  <si>
    <t>Charging station Level 3 150 KW</t>
  </si>
  <si>
    <t>Charging station Level 3 Flex 180 KW (3 pillar, 1-3 vehicle capability)</t>
  </si>
  <si>
    <t>AngelTrax 4 camera system-1TB</t>
  </si>
  <si>
    <t>AngelTrax 8 camera system-TB</t>
  </si>
  <si>
    <t>Fleet Management 3 year subscription</t>
  </si>
  <si>
    <t>$100 per mo.</t>
  </si>
  <si>
    <t>Fleet Management 5 year subscription</t>
  </si>
  <si>
    <t>$80 per mo.</t>
  </si>
  <si>
    <t>Fleet Management 3 year subscription + base reporting</t>
  </si>
  <si>
    <t>$115 per mo.</t>
  </si>
  <si>
    <t>Fleet Management 5 year subscription + base reporting</t>
  </si>
  <si>
    <t>$90 per  mo</t>
  </si>
  <si>
    <t>Fleet Management 3 year subscription + full reporting</t>
  </si>
  <si>
    <t>$120 per mo</t>
  </si>
  <si>
    <t>Fleet Management 5 year subscription + full reporting</t>
  </si>
  <si>
    <t>$95 per mo</t>
  </si>
  <si>
    <t>Seimens AC Versicharge 48A Commercial Parent</t>
  </si>
  <si>
    <t>LiteOn AC 80A Wallbox</t>
  </si>
  <si>
    <t>Basic Post-Compatible with 48A/80A (short post) (Siemens)</t>
  </si>
  <si>
    <t>Single Post with Cable Retractor(Tall Post) (Siemens)</t>
  </si>
  <si>
    <t>Dual Post with Cable Retractor (Tall Double Post) (Siemens)</t>
  </si>
  <si>
    <t>8-Galvanized Steel Dual Post w/ Ratchet Retractor (LiteOn)</t>
  </si>
  <si>
    <t>8-Galvanized Steel Post w/ Ratchet Retractor (LiteOn)</t>
  </si>
  <si>
    <t>Walker Restraint - (Wall Mount)</t>
  </si>
  <si>
    <t>2024 Chassis Update</t>
  </si>
  <si>
    <t>Highlighed cells represent updated Pricing-Force Majeure Effective 01062023 and '24 chassis increase on 04242024</t>
  </si>
  <si>
    <t xml:space="preserve">24 Chassis and CNG Update Update </t>
  </si>
  <si>
    <t>CNG 450 price updated 04242024</t>
  </si>
  <si>
    <t>Per window</t>
  </si>
  <si>
    <t>PENDING FORCE MAJEUR REQUEST</t>
  </si>
  <si>
    <t>Sunset ProMaster increase due 11/22/2024</t>
  </si>
  <si>
    <t>Force Majeure Pricing</t>
  </si>
  <si>
    <t xml:space="preserve">Altoona Completed. Report on File and Posted. </t>
  </si>
  <si>
    <t>STATUS 6/19/2024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</si>
</sst>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0.0"/>
    <numFmt numFmtId="167" formatCode="_(* #,##0.0000_);_(* \(#,##0.0000\);_(* &quot;-&quot;??_);_(@_)"/>
    <numFmt numFmtId="168" formatCode="yyyy\-mm\-dd"/>
    <numFmt numFmtId="169" formatCode="0.000"/>
    <numFmt numFmtId="170" formatCode="#,##0.000_);\(#,##0.000\)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1F497D"/>
      <name val="Verdana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 Unicode MS"/>
      <family val="2"/>
    </font>
    <font>
      <b/>
      <sz val="11.75"/>
      <color rgb="FF000000"/>
      <name val="Arial"/>
      <family val="2"/>
    </font>
    <font>
      <b/>
      <sz val="26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0.14996795556505021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/>
      <bottom style="thin">
        <color theme="0" tint="-0.1498764000366222"/>
      </bottom>
      <diagonal/>
    </border>
    <border>
      <left style="thin">
        <color theme="0" tint="-0.149906918546098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0.14990691854609822"/>
      </left>
      <right/>
      <top style="thin">
        <color theme="0" tint="-0.14987640003662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8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37" fontId="1" fillId="0" borderId="1" xfId="0" applyNumberFormat="1" applyFont="1" applyBorder="1"/>
    <xf numFmtId="37" fontId="1" fillId="0" borderId="1" xfId="0" applyNumberFormat="1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8" fontId="1" fillId="0" borderId="1" xfId="0" applyNumberFormat="1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1" fillId="3" borderId="0" xfId="0" applyFont="1" applyFill="1"/>
    <xf numFmtId="0" fontId="5" fillId="0" borderId="1" xfId="0" applyFont="1" applyBorder="1"/>
    <xf numFmtId="8" fontId="1" fillId="0" borderId="0" xfId="0" applyNumberFormat="1" applyFont="1"/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4" xfId="0" applyBorder="1"/>
    <xf numFmtId="0" fontId="0" fillId="2" borderId="4" xfId="0" applyFill="1" applyBorder="1"/>
    <xf numFmtId="0" fontId="0" fillId="0" borderId="4" xfId="0" applyBorder="1" applyProtection="1">
      <protection locked="0"/>
    </xf>
    <xf numFmtId="0" fontId="4" fillId="0" borderId="0" xfId="0" applyFont="1"/>
    <xf numFmtId="0" fontId="6" fillId="0" borderId="0" xfId="0" applyFont="1" applyAlignment="1">
      <alignment horizontal="righ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7" fillId="0" borderId="0" xfId="0" applyFont="1"/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9" fillId="0" borderId="0" xfId="2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5"/>
    </xf>
    <xf numFmtId="0" fontId="0" fillId="3" borderId="0" xfId="0" applyFill="1"/>
    <xf numFmtId="0" fontId="0" fillId="0" borderId="0" xfId="0" applyAlignment="1">
      <alignment horizontal="left"/>
    </xf>
    <xf numFmtId="3" fontId="0" fillId="3" borderId="0" xfId="0" applyNumberFormat="1" applyFill="1"/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165" fontId="1" fillId="3" borderId="0" xfId="1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9" fontId="1" fillId="0" borderId="0" xfId="0" applyNumberFormat="1" applyFont="1"/>
    <xf numFmtId="9" fontId="1" fillId="0" borderId="0" xfId="3" applyFont="1"/>
    <xf numFmtId="3" fontId="0" fillId="0" borderId="0" xfId="0" applyNumberFormat="1" applyProtection="1">
      <protection locked="0"/>
    </xf>
    <xf numFmtId="3" fontId="0" fillId="2" borderId="3" xfId="0" applyNumberFormat="1" applyFill="1" applyBorder="1" applyProtection="1">
      <protection locked="0"/>
    </xf>
    <xf numFmtId="1" fontId="0" fillId="0" borderId="0" xfId="0" applyNumberFormat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0" fillId="3" borderId="0" xfId="0" applyNumberFormat="1" applyFill="1"/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0" fillId="2" borderId="4" xfId="0" applyNumberFormat="1" applyFill="1" applyBorder="1"/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left"/>
    </xf>
    <xf numFmtId="1" fontId="1" fillId="0" borderId="5" xfId="0" applyNumberFormat="1" applyFont="1" applyBorder="1" applyAlignment="1">
      <alignment horizontal="center"/>
    </xf>
    <xf numFmtId="1" fontId="0" fillId="3" borderId="0" xfId="0" applyNumberFormat="1" applyFill="1" applyAlignment="1">
      <alignment horizontal="left"/>
    </xf>
    <xf numFmtId="37" fontId="0" fillId="0" borderId="1" xfId="0" applyNumberFormat="1" applyBorder="1"/>
    <xf numFmtId="165" fontId="3" fillId="0" borderId="0" xfId="1" applyNumberFormat="1" applyFont="1"/>
    <xf numFmtId="37" fontId="0" fillId="0" borderId="1" xfId="0" applyNumberFormat="1" applyBorder="1" applyAlignment="1">
      <alignment horizontal="center"/>
    </xf>
    <xf numFmtId="0" fontId="0" fillId="0" borderId="1" xfId="0" applyBorder="1"/>
    <xf numFmtId="37" fontId="0" fillId="0" borderId="2" xfId="0" applyNumberFormat="1" applyBorder="1" applyAlignment="1">
      <alignment horizontal="center"/>
    </xf>
    <xf numFmtId="37" fontId="0" fillId="0" borderId="2" xfId="0" applyNumberFormat="1" applyBorder="1"/>
    <xf numFmtId="37" fontId="0" fillId="0" borderId="8" xfId="0" applyNumberFormat="1" applyBorder="1"/>
    <xf numFmtId="37" fontId="0" fillId="0" borderId="9" xfId="0" applyNumberFormat="1" applyBorder="1"/>
    <xf numFmtId="8" fontId="0" fillId="0" borderId="1" xfId="0" applyNumberFormat="1" applyBorder="1"/>
    <xf numFmtId="3" fontId="0" fillId="3" borderId="1" xfId="0" applyNumberFormat="1" applyFill="1" applyBorder="1"/>
    <xf numFmtId="3" fontId="0" fillId="3" borderId="1" xfId="0" applyNumberFormat="1" applyFill="1" applyBorder="1" applyAlignment="1">
      <alignment horizontal="right"/>
    </xf>
    <xf numFmtId="1" fontId="0" fillId="0" borderId="1" xfId="0" applyNumberFormat="1" applyBorder="1"/>
    <xf numFmtId="1" fontId="0" fillId="3" borderId="1" xfId="0" applyNumberFormat="1" applyFill="1" applyBorder="1"/>
    <xf numFmtId="1" fontId="0" fillId="3" borderId="1" xfId="0" applyNumberFormat="1" applyFill="1" applyBorder="1" applyAlignment="1">
      <alignment horizontal="right"/>
    </xf>
    <xf numFmtId="1" fontId="0" fillId="3" borderId="1" xfId="0" applyNumberFormat="1" applyFill="1" applyBorder="1" applyAlignment="1">
      <alignment wrapText="1"/>
    </xf>
    <xf numFmtId="3" fontId="0" fillId="3" borderId="2" xfId="0" applyNumberFormat="1" applyFill="1" applyBorder="1"/>
    <xf numFmtId="3" fontId="0" fillId="3" borderId="2" xfId="0" applyNumberFormat="1" applyFill="1" applyBorder="1" applyAlignment="1">
      <alignment horizontal="right"/>
    </xf>
    <xf numFmtId="3" fontId="0" fillId="3" borderId="1" xfId="0" applyNumberFormat="1" applyFill="1" applyBorder="1" applyAlignment="1">
      <alignment horizontal="right" wrapText="1"/>
    </xf>
    <xf numFmtId="8" fontId="0" fillId="0" borderId="2" xfId="0" applyNumberFormat="1" applyBorder="1"/>
    <xf numFmtId="38" fontId="0" fillId="0" borderId="1" xfId="0" applyNumberFormat="1" applyBorder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1" fontId="3" fillId="3" borderId="0" xfId="1" applyNumberFormat="1" applyFont="1" applyFill="1"/>
    <xf numFmtId="1" fontId="1" fillId="3" borderId="0" xfId="1" applyNumberFormat="1" applyFont="1" applyFill="1"/>
    <xf numFmtId="1" fontId="0" fillId="3" borderId="0" xfId="1" applyNumberFormat="1" applyFont="1" applyFill="1"/>
    <xf numFmtId="1" fontId="0" fillId="3" borderId="0" xfId="0" applyNumberFormat="1" applyFill="1" applyAlignment="1">
      <alignment horizontal="right"/>
    </xf>
    <xf numFmtId="37" fontId="0" fillId="2" borderId="1" xfId="0" applyNumberFormat="1" applyFill="1" applyBorder="1"/>
    <xf numFmtId="37" fontId="0" fillId="0" borderId="0" xfId="0" applyNumberFormat="1"/>
    <xf numFmtId="1" fontId="0" fillId="0" borderId="0" xfId="0" applyNumberFormat="1" applyAlignment="1">
      <alignment horizontal="right"/>
    </xf>
    <xf numFmtId="0" fontId="0" fillId="3" borderId="1" xfId="0" applyFill="1" applyBorder="1"/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0" fillId="3" borderId="2" xfId="0" applyFill="1" applyBorder="1"/>
    <xf numFmtId="0" fontId="0" fillId="0" borderId="3" xfId="0" applyBorder="1" applyProtection="1">
      <protection locked="0"/>
    </xf>
    <xf numFmtId="0" fontId="0" fillId="0" borderId="5" xfId="0" applyBorder="1"/>
    <xf numFmtId="0" fontId="0" fillId="3" borderId="2" xfId="0" applyFill="1" applyBorder="1" applyProtection="1">
      <protection locked="0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left" vertical="center" indent="5"/>
    </xf>
    <xf numFmtId="1" fontId="0" fillId="0" borderId="0" xfId="0" applyNumberFormat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1" fontId="0" fillId="0" borderId="2" xfId="0" applyNumberFormat="1" applyBorder="1" applyAlignment="1">
      <alignment horizontal="right" vertical="center"/>
    </xf>
    <xf numFmtId="1" fontId="14" fillId="0" borderId="0" xfId="0" applyNumberFormat="1" applyFont="1" applyAlignment="1">
      <alignment horizontal="center"/>
    </xf>
    <xf numFmtId="1" fontId="0" fillId="0" borderId="0" xfId="0" applyNumberFormat="1" applyProtection="1">
      <protection locked="0"/>
    </xf>
    <xf numFmtId="1" fontId="0" fillId="0" borderId="2" xfId="0" applyNumberFormat="1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0" borderId="1" xfId="0" applyNumberFormat="1" applyBorder="1" applyAlignment="1">
      <alignment horizontal="right"/>
    </xf>
    <xf numFmtId="1" fontId="0" fillId="3" borderId="0" xfId="0" applyNumberFormat="1" applyFill="1" applyAlignment="1">
      <alignment vertical="center"/>
    </xf>
    <xf numFmtId="1" fontId="0" fillId="3" borderId="0" xfId="0" applyNumberFormat="1" applyFill="1" applyAlignment="1">
      <alignment horizontal="right" vertical="center"/>
    </xf>
    <xf numFmtId="1" fontId="0" fillId="0" borderId="0" xfId="0" applyNumberFormat="1" applyAlignment="1">
      <alignment horizontal="left" vertical="center"/>
    </xf>
    <xf numFmtId="1" fontId="0" fillId="2" borderId="0" xfId="0" applyNumberFormat="1" applyFill="1"/>
    <xf numFmtId="1" fontId="0" fillId="3" borderId="1" xfId="0" applyNumberFormat="1" applyFill="1" applyBorder="1" applyAlignment="1">
      <alignment horizontal="right" wrapText="1"/>
    </xf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right"/>
    </xf>
    <xf numFmtId="1" fontId="0" fillId="0" borderId="3" xfId="0" applyNumberFormat="1" applyBorder="1" applyProtection="1">
      <protection locked="0"/>
    </xf>
    <xf numFmtId="1" fontId="0" fillId="0" borderId="5" xfId="0" applyNumberFormat="1" applyBorder="1"/>
    <xf numFmtId="1" fontId="0" fillId="3" borderId="2" xfId="0" applyNumberFormat="1" applyFill="1" applyBorder="1" applyProtection="1">
      <protection locked="0"/>
    </xf>
    <xf numFmtId="1" fontId="0" fillId="2" borderId="1" xfId="0" applyNumberFormat="1" applyFill="1" applyBorder="1" applyAlignment="1">
      <alignment horizontal="center"/>
    </xf>
    <xf numFmtId="1" fontId="4" fillId="0" borderId="0" xfId="0" applyNumberFormat="1" applyFont="1"/>
    <xf numFmtId="1" fontId="15" fillId="0" borderId="0" xfId="0" applyNumberFormat="1" applyFont="1"/>
    <xf numFmtId="1" fontId="0" fillId="0" borderId="0" xfId="0" applyNumberFormat="1" applyAlignment="1">
      <alignment vertical="center"/>
    </xf>
    <xf numFmtId="1" fontId="0" fillId="0" borderId="4" xfId="0" applyNumberFormat="1" applyBorder="1" applyProtection="1">
      <protection locked="0"/>
    </xf>
    <xf numFmtId="1" fontId="0" fillId="0" borderId="4" xfId="0" applyNumberFormat="1" applyBorder="1" applyAlignment="1">
      <alignment horizontal="left"/>
    </xf>
    <xf numFmtId="1" fontId="7" fillId="0" borderId="0" xfId="0" applyNumberFormat="1" applyFont="1"/>
    <xf numFmtId="1" fontId="0" fillId="3" borderId="9" xfId="0" applyNumberFormat="1" applyFill="1" applyBorder="1"/>
    <xf numFmtId="1" fontId="7" fillId="2" borderId="0" xfId="0" applyNumberFormat="1" applyFont="1" applyFill="1"/>
    <xf numFmtId="1" fontId="0" fillId="3" borderId="9" xfId="0" applyNumberFormat="1" applyFill="1" applyBorder="1" applyAlignment="1">
      <alignment horizontal="right"/>
    </xf>
    <xf numFmtId="1" fontId="7" fillId="3" borderId="0" xfId="0" applyNumberFormat="1" applyFont="1" applyFill="1" applyAlignment="1">
      <alignment horizontal="right"/>
    </xf>
    <xf numFmtId="1" fontId="7" fillId="3" borderId="2" xfId="0" applyNumberFormat="1" applyFont="1" applyFill="1" applyBorder="1" applyAlignment="1">
      <alignment horizontal="right"/>
    </xf>
    <xf numFmtId="1" fontId="0" fillId="0" borderId="4" xfId="0" applyNumberFormat="1" applyBorder="1"/>
    <xf numFmtId="1" fontId="0" fillId="0" borderId="6" xfId="0" applyNumberFormat="1" applyBorder="1"/>
    <xf numFmtId="1" fontId="7" fillId="3" borderId="1" xfId="0" applyNumberFormat="1" applyFont="1" applyFill="1" applyBorder="1" applyAlignment="1">
      <alignment horizontal="right"/>
    </xf>
    <xf numFmtId="1" fontId="7" fillId="0" borderId="4" xfId="0" applyNumberFormat="1" applyFont="1" applyBorder="1" applyAlignment="1">
      <alignment vertical="center"/>
    </xf>
    <xf numFmtId="1" fontId="1" fillId="2" borderId="0" xfId="0" applyNumberFormat="1" applyFont="1" applyFill="1"/>
    <xf numFmtId="1" fontId="7" fillId="0" borderId="1" xfId="0" applyNumberFormat="1" applyFont="1" applyBorder="1" applyAlignment="1">
      <alignment horizontal="right" vertical="center"/>
    </xf>
    <xf numFmtId="1" fontId="0" fillId="3" borderId="1" xfId="0" applyNumberFormat="1" applyFill="1" applyBorder="1" applyAlignment="1">
      <alignment horizontal="right" vertical="center"/>
    </xf>
    <xf numFmtId="1" fontId="0" fillId="3" borderId="2" xfId="0" applyNumberFormat="1" applyFill="1" applyBorder="1" applyAlignment="1">
      <alignment horizontal="right" vertical="center"/>
    </xf>
    <xf numFmtId="1" fontId="7" fillId="3" borderId="2" xfId="0" applyNumberFormat="1" applyFont="1" applyFill="1" applyBorder="1" applyAlignment="1">
      <alignment horizontal="right" vertical="center" wrapText="1"/>
    </xf>
    <xf numFmtId="1" fontId="7" fillId="3" borderId="1" xfId="0" applyNumberFormat="1" applyFont="1" applyFill="1" applyBorder="1" applyAlignment="1">
      <alignment horizontal="right" vertical="center" wrapText="1"/>
    </xf>
    <xf numFmtId="1" fontId="7" fillId="3" borderId="2" xfId="0" applyNumberFormat="1" applyFont="1" applyFill="1" applyBorder="1" applyAlignment="1">
      <alignment horizontal="right" vertical="center"/>
    </xf>
    <xf numFmtId="1" fontId="0" fillId="0" borderId="4" xfId="0" applyNumberFormat="1" applyBorder="1" applyAlignment="1">
      <alignment vertical="center"/>
    </xf>
    <xf numFmtId="1" fontId="0" fillId="3" borderId="11" xfId="0" applyNumberFormat="1" applyFill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1" fontId="0" fillId="3" borderId="5" xfId="0" applyNumberFormat="1" applyFill="1" applyBorder="1" applyAlignment="1">
      <alignment horizontal="right" vertical="center"/>
    </xf>
    <xf numFmtId="1" fontId="0" fillId="2" borderId="1" xfId="0" applyNumberFormat="1" applyFill="1" applyBorder="1"/>
    <xf numFmtId="1" fontId="3" fillId="2" borderId="1" xfId="1" applyNumberFormat="1" applyFont="1" applyFill="1" applyBorder="1"/>
    <xf numFmtId="1" fontId="3" fillId="0" borderId="1" xfId="1" applyNumberFormat="1" applyFont="1" applyFill="1" applyBorder="1"/>
    <xf numFmtId="1" fontId="0" fillId="2" borderId="0" xfId="0" applyNumberFormat="1" applyFill="1" applyProtection="1">
      <protection locked="0"/>
    </xf>
    <xf numFmtId="1" fontId="3" fillId="3" borderId="0" xfId="1" applyNumberFormat="1" applyFont="1" applyFill="1" applyBorder="1"/>
    <xf numFmtId="1" fontId="7" fillId="0" borderId="1" xfId="1" applyNumberFormat="1" applyFont="1" applyFill="1" applyBorder="1"/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horizontal="left"/>
    </xf>
    <xf numFmtId="1" fontId="0" fillId="2" borderId="4" xfId="0" applyNumberFormat="1" applyFill="1" applyBorder="1" applyAlignment="1">
      <alignment vertical="center"/>
    </xf>
    <xf numFmtId="1" fontId="0" fillId="0" borderId="0" xfId="0" applyNumberFormat="1" applyAlignment="1">
      <alignment horizontal="left"/>
    </xf>
    <xf numFmtId="1" fontId="0" fillId="0" borderId="2" xfId="0" applyNumberFormat="1" applyBorder="1"/>
    <xf numFmtId="1" fontId="3" fillId="0" borderId="2" xfId="1" applyNumberFormat="1" applyFont="1" applyFill="1" applyBorder="1"/>
    <xf numFmtId="1" fontId="0" fillId="0" borderId="7" xfId="0" applyNumberFormat="1" applyBorder="1"/>
    <xf numFmtId="1" fontId="3" fillId="0" borderId="1" xfId="1" applyNumberFormat="1" applyFont="1" applyBorder="1"/>
    <xf numFmtId="1" fontId="3" fillId="0" borderId="0" xfId="1" applyNumberFormat="1" applyFont="1" applyFill="1"/>
    <xf numFmtId="1" fontId="3" fillId="0" borderId="0" xfId="1" applyNumberFormat="1" applyFont="1" applyFill="1" applyBorder="1"/>
    <xf numFmtId="1" fontId="3" fillId="3" borderId="0" xfId="4" applyNumberFormat="1" applyFont="1" applyFill="1"/>
    <xf numFmtId="1" fontId="0" fillId="0" borderId="2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13" fillId="0" borderId="0" xfId="0" applyNumberFormat="1" applyFont="1"/>
    <xf numFmtId="1" fontId="0" fillId="3" borderId="1" xfId="0" applyNumberFormat="1" applyFill="1" applyBorder="1" applyAlignment="1">
      <alignment horizontal="left"/>
    </xf>
    <xf numFmtId="1" fontId="0" fillId="3" borderId="5" xfId="0" applyNumberFormat="1" applyFill="1" applyBorder="1" applyAlignment="1">
      <alignment horizontal="left"/>
    </xf>
    <xf numFmtId="1" fontId="7" fillId="0" borderId="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left"/>
    </xf>
    <xf numFmtId="1" fontId="7" fillId="0" borderId="0" xfId="0" applyNumberFormat="1" applyFont="1" applyProtection="1">
      <protection locked="0"/>
    </xf>
    <xf numFmtId="1" fontId="0" fillId="3" borderId="2" xfId="0" applyNumberFormat="1" applyFill="1" applyBorder="1" applyAlignment="1">
      <alignment horizontal="left"/>
    </xf>
    <xf numFmtId="1" fontId="3" fillId="0" borderId="0" xfId="1" applyNumberFormat="1" applyFont="1"/>
    <xf numFmtId="1" fontId="3" fillId="0" borderId="2" xfId="1" applyNumberFormat="1" applyFont="1" applyBorder="1"/>
    <xf numFmtId="1" fontId="3" fillId="0" borderId="0" xfId="1" applyNumberFormat="1" applyFont="1" applyBorder="1"/>
    <xf numFmtId="1" fontId="1" fillId="2" borderId="0" xfId="0" applyNumberFormat="1" applyFont="1" applyFill="1" applyAlignment="1">
      <alignment horizontal="right"/>
    </xf>
    <xf numFmtId="1" fontId="1" fillId="2" borderId="0" xfId="0" applyNumberFormat="1" applyFont="1" applyFill="1" applyAlignment="1">
      <alignment wrapText="1"/>
    </xf>
    <xf numFmtId="37" fontId="0" fillId="3" borderId="0" xfId="0" applyNumberFormat="1" applyFill="1"/>
    <xf numFmtId="37" fontId="0" fillId="3" borderId="0" xfId="0" applyNumberFormat="1" applyFill="1" applyAlignment="1">
      <alignment horizontal="center"/>
    </xf>
    <xf numFmtId="0" fontId="0" fillId="0" borderId="12" xfId="0" applyBorder="1"/>
    <xf numFmtId="37" fontId="0" fillId="0" borderId="10" xfId="0" applyNumberFormat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right" vertical="center"/>
    </xf>
    <xf numFmtId="3" fontId="0" fillId="3" borderId="0" xfId="0" applyNumberFormat="1" applyFill="1" applyAlignment="1">
      <alignment horizontal="right" vertical="center"/>
    </xf>
    <xf numFmtId="3" fontId="7" fillId="3" borderId="0" xfId="0" applyNumberFormat="1" applyFont="1" applyFill="1" applyAlignment="1">
      <alignment horizontal="center"/>
    </xf>
    <xf numFmtId="6" fontId="0" fillId="0" borderId="1" xfId="0" applyNumberFormat="1" applyBorder="1"/>
    <xf numFmtId="37" fontId="3" fillId="3" borderId="0" xfId="1" applyNumberFormat="1" applyFont="1" applyFill="1" applyBorder="1" applyAlignment="1">
      <alignment horizontal="right"/>
    </xf>
    <xf numFmtId="37" fontId="3" fillId="3" borderId="0" xfId="1" applyNumberFormat="1" applyFont="1" applyFill="1" applyAlignment="1">
      <alignment horizontal="right"/>
    </xf>
    <xf numFmtId="37" fontId="3" fillId="3" borderId="0" xfId="1" applyNumberFormat="1" applyFont="1" applyFill="1"/>
    <xf numFmtId="37" fontId="3" fillId="3" borderId="0" xfId="1" applyNumberFormat="1" applyFont="1" applyFill="1" applyBorder="1"/>
    <xf numFmtId="165" fontId="3" fillId="3" borderId="0" xfId="1" applyNumberFormat="1" applyFont="1" applyFill="1"/>
    <xf numFmtId="0" fontId="17" fillId="0" borderId="0" xfId="0" applyFont="1" applyAlignment="1">
      <alignment vertical="center"/>
    </xf>
    <xf numFmtId="6" fontId="17" fillId="0" borderId="0" xfId="0" applyNumberFormat="1" applyFont="1" applyAlignment="1">
      <alignment vertical="center"/>
    </xf>
    <xf numFmtId="0" fontId="16" fillId="0" borderId="0" xfId="0" applyFont="1" applyAlignment="1">
      <alignment vertical="top"/>
    </xf>
    <xf numFmtId="0" fontId="15" fillId="0" borderId="0" xfId="0" applyFont="1" applyAlignment="1">
      <alignment vertical="center"/>
    </xf>
    <xf numFmtId="1" fontId="1" fillId="0" borderId="0" xfId="0" applyNumberFormat="1" applyFont="1" applyAlignment="1">
      <alignment horizontal="right"/>
    </xf>
    <xf numFmtId="1" fontId="4" fillId="3" borderId="0" xfId="0" applyNumberFormat="1" applyFont="1" applyFill="1"/>
    <xf numFmtId="164" fontId="4" fillId="0" borderId="0" xfId="0" applyNumberFormat="1" applyFont="1" applyAlignment="1">
      <alignment horizontal="center"/>
    </xf>
    <xf numFmtId="0" fontId="18" fillId="0" borderId="0" xfId="0" applyFont="1"/>
    <xf numFmtId="44" fontId="19" fillId="0" borderId="1" xfId="1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 wrapText="1"/>
    </xf>
    <xf numFmtId="44" fontId="19" fillId="0" borderId="2" xfId="1" applyFont="1" applyFill="1" applyBorder="1" applyAlignment="1" applyProtection="1">
      <alignment horizontal="center"/>
      <protection locked="0"/>
    </xf>
    <xf numFmtId="44" fontId="19" fillId="0" borderId="0" xfId="1" applyFont="1" applyFill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4" fontId="7" fillId="0" borderId="0" xfId="1" applyFont="1" applyFill="1" applyAlignment="1">
      <alignment horizontal="center"/>
    </xf>
    <xf numFmtId="0" fontId="19" fillId="0" borderId="1" xfId="0" applyFont="1" applyBorder="1"/>
    <xf numFmtId="0" fontId="19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vertical="center"/>
    </xf>
    <xf numFmtId="44" fontId="7" fillId="0" borderId="2" xfId="1" applyFont="1" applyFill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7" fillId="0" borderId="3" xfId="0" applyFont="1" applyBorder="1"/>
    <xf numFmtId="44" fontId="19" fillId="0" borderId="1" xfId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44" fontId="19" fillId="0" borderId="2" xfId="1" applyFont="1" applyFill="1" applyBorder="1" applyAlignment="1">
      <alignment horizontal="center"/>
    </xf>
    <xf numFmtId="0" fontId="19" fillId="0" borderId="13" xfId="0" applyFont="1" applyBorder="1"/>
    <xf numFmtId="8" fontId="19" fillId="0" borderId="1" xfId="0" applyNumberFormat="1" applyFont="1" applyBorder="1"/>
    <xf numFmtId="0" fontId="19" fillId="0" borderId="14" xfId="0" applyFont="1" applyBorder="1"/>
    <xf numFmtId="0" fontId="19" fillId="0" borderId="1" xfId="0" applyFont="1" applyBorder="1" applyAlignment="1">
      <alignment horizontal="center"/>
    </xf>
    <xf numFmtId="0" fontId="7" fillId="0" borderId="14" xfId="0" applyFont="1" applyBorder="1"/>
    <xf numFmtId="0" fontId="19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0" borderId="17" xfId="0" applyFont="1" applyBorder="1"/>
    <xf numFmtId="3" fontId="19" fillId="0" borderId="1" xfId="0" applyNumberFormat="1" applyFont="1" applyBorder="1"/>
    <xf numFmtId="3" fontId="19" fillId="0" borderId="1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1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4" xfId="0" applyFont="1" applyBorder="1"/>
    <xf numFmtId="0" fontId="7" fillId="0" borderId="18" xfId="0" applyFont="1" applyBorder="1"/>
    <xf numFmtId="3" fontId="19" fillId="0" borderId="2" xfId="0" applyNumberFormat="1" applyFont="1" applyBorder="1"/>
    <xf numFmtId="3" fontId="19" fillId="0" borderId="1" xfId="0" applyNumberFormat="1" applyFont="1" applyBorder="1" applyAlignment="1">
      <alignment wrapText="1"/>
    </xf>
    <xf numFmtId="0" fontId="7" fillId="0" borderId="21" xfId="0" applyFont="1" applyBorder="1"/>
    <xf numFmtId="0" fontId="19" fillId="0" borderId="1" xfId="0" applyFont="1" applyBorder="1" applyAlignment="1">
      <alignment horizontal="right" wrapText="1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19" fillId="0" borderId="23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44" fontId="7" fillId="0" borderId="0" xfId="0" applyNumberFormat="1" applyFont="1" applyAlignment="1">
      <alignment horizontal="center"/>
    </xf>
    <xf numFmtId="44" fontId="19" fillId="0" borderId="0" xfId="0" applyNumberFormat="1" applyFont="1" applyAlignment="1">
      <alignment horizontal="center"/>
    </xf>
    <xf numFmtId="44" fontId="19" fillId="0" borderId="1" xfId="0" applyNumberFormat="1" applyFont="1" applyBorder="1" applyAlignment="1">
      <alignment horizontal="center"/>
    </xf>
    <xf numFmtId="44" fontId="19" fillId="0" borderId="2" xfId="0" applyNumberFormat="1" applyFont="1" applyBorder="1" applyAlignment="1" applyProtection="1">
      <alignment horizontal="center"/>
      <protection locked="0"/>
    </xf>
    <xf numFmtId="44" fontId="19" fillId="0" borderId="2" xfId="0" applyNumberFormat="1" applyFont="1" applyBorder="1" applyAlignment="1">
      <alignment horizontal="center"/>
    </xf>
    <xf numFmtId="44" fontId="19" fillId="0" borderId="1" xfId="0" applyNumberFormat="1" applyFont="1" applyBorder="1" applyAlignment="1">
      <alignment horizontal="center" wrapText="1"/>
    </xf>
    <xf numFmtId="164" fontId="0" fillId="3" borderId="0" xfId="0" applyNumberFormat="1" applyFill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0" fillId="0" borderId="2" xfId="0" applyBorder="1"/>
    <xf numFmtId="6" fontId="1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3" fontId="0" fillId="0" borderId="2" xfId="0" applyNumberForma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12" xfId="0" applyFont="1" applyFill="1" applyBorder="1"/>
    <xf numFmtId="0" fontId="21" fillId="0" borderId="0" xfId="0" applyFont="1"/>
    <xf numFmtId="43" fontId="9" fillId="0" borderId="0" xfId="4" applyFont="1"/>
    <xf numFmtId="43" fontId="0" fillId="0" borderId="0" xfId="4" applyFont="1"/>
    <xf numFmtId="43" fontId="22" fillId="0" borderId="0" xfId="4" applyFont="1" applyAlignment="1">
      <alignment vertical="center"/>
    </xf>
    <xf numFmtId="166" fontId="0" fillId="0" borderId="0" xfId="0" applyNumberFormat="1"/>
    <xf numFmtId="43" fontId="23" fillId="0" borderId="0" xfId="4" applyFont="1" applyAlignment="1">
      <alignment horizontal="left" vertical="center"/>
    </xf>
    <xf numFmtId="43" fontId="0" fillId="4" borderId="0" xfId="4" applyFont="1" applyFill="1" applyAlignment="1">
      <alignment horizontal="left" vertical="center" indent="1"/>
    </xf>
    <xf numFmtId="168" fontId="0" fillId="3" borderId="0" xfId="0" applyNumberFormat="1" applyFill="1"/>
    <xf numFmtId="169" fontId="0" fillId="3" borderId="0" xfId="0" applyNumberFormat="1" applyFill="1"/>
    <xf numFmtId="43" fontId="0" fillId="0" borderId="0" xfId="4" applyFont="1" applyFill="1"/>
    <xf numFmtId="43" fontId="0" fillId="0" borderId="0" xfId="4" applyFont="1" applyFill="1" applyAlignment="1">
      <alignment horizontal="center"/>
    </xf>
    <xf numFmtId="0" fontId="0" fillId="2" borderId="29" xfId="0" applyFill="1" applyBorder="1"/>
    <xf numFmtId="0" fontId="0" fillId="2" borderId="30" xfId="0" applyFill="1" applyBorder="1"/>
    <xf numFmtId="43" fontId="0" fillId="2" borderId="30" xfId="4" applyFont="1" applyFill="1" applyBorder="1"/>
    <xf numFmtId="43" fontId="0" fillId="2" borderId="31" xfId="4" applyFont="1" applyFill="1" applyBorder="1"/>
    <xf numFmtId="0" fontId="0" fillId="2" borderId="32" xfId="0" applyFill="1" applyBorder="1"/>
    <xf numFmtId="43" fontId="0" fillId="2" borderId="33" xfId="4" applyFont="1" applyFill="1" applyBorder="1"/>
    <xf numFmtId="167" fontId="0" fillId="2" borderId="33" xfId="4" applyNumberFormat="1" applyFont="1" applyFill="1" applyBorder="1"/>
    <xf numFmtId="0" fontId="24" fillId="2" borderId="32" xfId="0" applyFont="1" applyFill="1" applyBorder="1"/>
    <xf numFmtId="0" fontId="0" fillId="2" borderId="34" xfId="0" applyFill="1" applyBorder="1"/>
    <xf numFmtId="0" fontId="0" fillId="2" borderId="12" xfId="0" applyFill="1" applyBorder="1"/>
    <xf numFmtId="43" fontId="0" fillId="2" borderId="12" xfId="4" applyFont="1" applyFill="1" applyBorder="1"/>
    <xf numFmtId="43" fontId="0" fillId="2" borderId="35" xfId="4" applyFont="1" applyFill="1" applyBorder="1"/>
    <xf numFmtId="43" fontId="0" fillId="2" borderId="0" xfId="4" applyFont="1" applyFill="1" applyBorder="1"/>
    <xf numFmtId="0" fontId="25" fillId="2" borderId="0" xfId="0" applyFont="1" applyFill="1"/>
    <xf numFmtId="168" fontId="0" fillId="2" borderId="0" xfId="0" applyNumberFormat="1" applyFill="1"/>
    <xf numFmtId="169" fontId="0" fillId="2" borderId="0" xfId="0" applyNumberFormat="1" applyFill="1"/>
    <xf numFmtId="14" fontId="0" fillId="2" borderId="0" xfId="4" applyNumberFormat="1" applyFont="1" applyFill="1" applyBorder="1"/>
    <xf numFmtId="14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3" fontId="0" fillId="2" borderId="0" xfId="4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26" fillId="5" borderId="0" xfId="0" applyFont="1" applyFill="1"/>
    <xf numFmtId="1" fontId="1" fillId="5" borderId="0" xfId="0" applyNumberFormat="1" applyFont="1" applyFill="1"/>
    <xf numFmtId="0" fontId="1" fillId="5" borderId="0" xfId="0" applyFont="1" applyFill="1"/>
    <xf numFmtId="0" fontId="0" fillId="0" borderId="29" xfId="0" applyBorder="1"/>
    <xf numFmtId="0" fontId="0" fillId="0" borderId="30" xfId="0" applyBorder="1"/>
    <xf numFmtId="43" fontId="0" fillId="0" borderId="30" xfId="4" applyFont="1" applyBorder="1"/>
    <xf numFmtId="43" fontId="0" fillId="0" borderId="31" xfId="4" applyFont="1" applyBorder="1"/>
    <xf numFmtId="0" fontId="0" fillId="0" borderId="32" xfId="0" applyBorder="1"/>
    <xf numFmtId="43" fontId="0" fillId="0" borderId="33" xfId="4" applyFont="1" applyBorder="1"/>
    <xf numFmtId="169" fontId="0" fillId="0" borderId="0" xfId="0" applyNumberFormat="1"/>
    <xf numFmtId="169" fontId="0" fillId="0" borderId="33" xfId="4" applyNumberFormat="1" applyFont="1" applyBorder="1"/>
    <xf numFmtId="169" fontId="0" fillId="3" borderId="33" xfId="4" applyNumberFormat="1" applyFont="1" applyFill="1" applyBorder="1"/>
    <xf numFmtId="0" fontId="24" fillId="0" borderId="32" xfId="0" applyFont="1" applyBorder="1"/>
    <xf numFmtId="0" fontId="25" fillId="0" borderId="0" xfId="0" applyFont="1"/>
    <xf numFmtId="0" fontId="0" fillId="0" borderId="34" xfId="0" applyBorder="1"/>
    <xf numFmtId="43" fontId="0" fillId="0" borderId="12" xfId="4" applyFont="1" applyBorder="1"/>
    <xf numFmtId="43" fontId="0" fillId="0" borderId="35" xfId="4" applyFont="1" applyBorder="1"/>
    <xf numFmtId="168" fontId="0" fillId="0" borderId="0" xfId="0" applyNumberFormat="1"/>
    <xf numFmtId="43" fontId="9" fillId="5" borderId="0" xfId="4" applyFont="1" applyFill="1"/>
    <xf numFmtId="3" fontId="1" fillId="0" borderId="12" xfId="0" applyNumberFormat="1" applyFont="1" applyBorder="1"/>
    <xf numFmtId="38" fontId="1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" fontId="1" fillId="2" borderId="2" xfId="0" applyNumberFormat="1" applyFont="1" applyFill="1" applyBorder="1" applyAlignment="1">
      <alignment horizontal="right"/>
    </xf>
    <xf numFmtId="0" fontId="13" fillId="0" borderId="0" xfId="0" applyFont="1"/>
    <xf numFmtId="14" fontId="0" fillId="0" borderId="1" xfId="0" applyNumberFormat="1" applyBorder="1"/>
    <xf numFmtId="0" fontId="0" fillId="0" borderId="0" xfId="0" applyAlignment="1">
      <alignment horizontal="left" vertical="top" wrapText="1"/>
    </xf>
    <xf numFmtId="170" fontId="0" fillId="0" borderId="33" xfId="4" applyNumberFormat="1" applyFont="1" applyBorder="1"/>
    <xf numFmtId="14" fontId="0" fillId="0" borderId="0" xfId="4" applyNumberFormat="1" applyFont="1" applyFill="1"/>
    <xf numFmtId="14" fontId="0" fillId="0" borderId="0" xfId="0" applyNumberFormat="1"/>
    <xf numFmtId="169" fontId="1" fillId="0" borderId="0" xfId="0" applyNumberFormat="1" applyFont="1"/>
    <xf numFmtId="168" fontId="29" fillId="0" borderId="0" xfId="0" applyNumberFormat="1" applyFont="1"/>
    <xf numFmtId="2" fontId="0" fillId="3" borderId="0" xfId="0" applyNumberFormat="1" applyFill="1"/>
    <xf numFmtId="2" fontId="0" fillId="0" borderId="0" xfId="0" applyNumberFormat="1"/>
    <xf numFmtId="0" fontId="30" fillId="5" borderId="0" xfId="0" applyFont="1" applyFill="1"/>
    <xf numFmtId="15" fontId="0" fillId="0" borderId="0" xfId="0" applyNumberFormat="1"/>
    <xf numFmtId="44" fontId="7" fillId="3" borderId="0" xfId="0" applyNumberFormat="1" applyFont="1" applyFill="1"/>
    <xf numFmtId="0" fontId="19" fillId="3" borderId="0" xfId="0" applyFont="1" applyFill="1"/>
    <xf numFmtId="0" fontId="7" fillId="3" borderId="0" xfId="0" applyFont="1" applyFill="1"/>
    <xf numFmtId="3" fontId="1" fillId="0" borderId="0" xfId="0" applyNumberFormat="1" applyFont="1" applyAlignment="1">
      <alignment horizontal="center"/>
    </xf>
    <xf numFmtId="3" fontId="1" fillId="3" borderId="0" xfId="0" applyNumberFormat="1" applyFont="1" applyFill="1"/>
    <xf numFmtId="168" fontId="1" fillId="0" borderId="0" xfId="0" applyNumberFormat="1" applyFont="1"/>
    <xf numFmtId="0" fontId="0" fillId="2" borderId="3" xfId="0" applyFill="1" applyBorder="1" applyAlignment="1">
      <alignment vertical="center"/>
    </xf>
    <xf numFmtId="3" fontId="1" fillId="0" borderId="2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18" xfId="0" applyBorder="1"/>
    <xf numFmtId="0" fontId="1" fillId="0" borderId="2" xfId="0" applyFont="1" applyBorder="1" applyAlignment="1" applyProtection="1">
      <alignment horizontal="right"/>
      <protection locked="0"/>
    </xf>
    <xf numFmtId="0" fontId="0" fillId="2" borderId="18" xfId="0" applyFill="1" applyBorder="1"/>
    <xf numFmtId="3" fontId="1" fillId="0" borderId="0" xfId="0" applyNumberFormat="1" applyFont="1"/>
    <xf numFmtId="0" fontId="0" fillId="2" borderId="36" xfId="0" applyFill="1" applyBorder="1"/>
    <xf numFmtId="0" fontId="33" fillId="0" borderId="3" xfId="0" applyFont="1" applyBorder="1"/>
    <xf numFmtId="38" fontId="34" fillId="0" borderId="3" xfId="0" applyNumberFormat="1" applyFont="1" applyBorder="1"/>
    <xf numFmtId="0" fontId="0" fillId="0" borderId="17" xfId="0" applyBorder="1"/>
    <xf numFmtId="0" fontId="34" fillId="0" borderId="3" xfId="0" applyFont="1" applyBorder="1" applyAlignment="1">
      <alignment horizontal="right"/>
    </xf>
    <xf numFmtId="0" fontId="35" fillId="0" borderId="0" xfId="0" applyFont="1"/>
    <xf numFmtId="1" fontId="7" fillId="6" borderId="0" xfId="0" applyNumberFormat="1" applyFont="1" applyFill="1"/>
    <xf numFmtId="1" fontId="0" fillId="6" borderId="0" xfId="0" applyNumberFormat="1" applyFill="1"/>
    <xf numFmtId="0" fontId="0" fillId="6" borderId="0" xfId="0" applyFill="1"/>
    <xf numFmtId="0" fontId="1" fillId="6" borderId="0" xfId="0" quotePrefix="1" applyFont="1" applyFill="1"/>
    <xf numFmtId="0" fontId="1" fillId="6" borderId="0" xfId="0" applyFont="1" applyFill="1"/>
    <xf numFmtId="44" fontId="19" fillId="0" borderId="0" xfId="1" applyFont="1" applyFill="1" applyBorder="1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" fontId="13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44" fontId="19" fillId="0" borderId="1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Comma" xfId="4" builtinId="3"/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180</xdr:row>
      <xdr:rowOff>0</xdr:rowOff>
    </xdr:from>
    <xdr:to>
      <xdr:col>4</xdr:col>
      <xdr:colOff>598170</xdr:colOff>
      <xdr:row>180</xdr:row>
      <xdr:rowOff>186690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7457420"/>
          <a:ext cx="14249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7</xdr:col>
          <xdr:colOff>914400</xdr:colOff>
          <xdr:row>5</xdr:row>
          <xdr:rowOff>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E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0</xdr:rowOff>
        </xdr:from>
        <xdr:to>
          <xdr:col>7</xdr:col>
          <xdr:colOff>914400</xdr:colOff>
          <xdr:row>135</xdr:row>
          <xdr:rowOff>0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E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ed.stlouisfed.org/series/WPU1413" TargetMode="External"/><Relationship Id="rId2" Type="http://schemas.openxmlformats.org/officeDocument/2006/relationships/hyperlink" Target="https://fred.stlouisfed.org/series/WPU1413" TargetMode="External"/><Relationship Id="rId1" Type="http://schemas.openxmlformats.org/officeDocument/2006/relationships/hyperlink" Target="https://fred.stlouisfed.org/series/WPU141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ed.stlouisfed.org/series/WPU141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dan@creativebussales.com" TargetMode="External"/><Relationship Id="rId13" Type="http://schemas.openxmlformats.org/officeDocument/2006/relationships/hyperlink" Target="mailto:Boconnell@abc-companies.com" TargetMode="External"/><Relationship Id="rId3" Type="http://schemas.openxmlformats.org/officeDocument/2006/relationships/hyperlink" Target="mailto:kmills@a-zbus.com" TargetMode="External"/><Relationship Id="rId7" Type="http://schemas.openxmlformats.org/officeDocument/2006/relationships/hyperlink" Target="mailto:jayh@creativebussales.com" TargetMode="External"/><Relationship Id="rId12" Type="http://schemas.openxmlformats.org/officeDocument/2006/relationships/hyperlink" Target="mailto:joe@robussales.com" TargetMode="External"/><Relationship Id="rId2" Type="http://schemas.openxmlformats.org/officeDocument/2006/relationships/hyperlink" Target="mailto:chartmann@a-zbus.com" TargetMode="External"/><Relationship Id="rId1" Type="http://schemas.openxmlformats.org/officeDocument/2006/relationships/hyperlink" Target="mailto:jroakman@abc-companies.com" TargetMode="External"/><Relationship Id="rId6" Type="http://schemas.openxmlformats.org/officeDocument/2006/relationships/hyperlink" Target="mailto:mikef@creativebussales.com" TargetMode="External"/><Relationship Id="rId11" Type="http://schemas.openxmlformats.org/officeDocument/2006/relationships/hyperlink" Target="mailto:amccall@masterstransportation.com" TargetMode="External"/><Relationship Id="rId5" Type="http://schemas.openxmlformats.org/officeDocument/2006/relationships/hyperlink" Target="mailto:DonW@creativebussales.com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jlocken@masterstransportation.com" TargetMode="External"/><Relationship Id="rId4" Type="http://schemas.openxmlformats.org/officeDocument/2006/relationships/hyperlink" Target="mailto:stevec@creativebussales.com" TargetMode="External"/><Relationship Id="rId9" Type="http://schemas.openxmlformats.org/officeDocument/2006/relationships/hyperlink" Target="mailto:georgea@daveycoach.com" TargetMode="External"/><Relationship Id="rId14" Type="http://schemas.openxmlformats.org/officeDocument/2006/relationships/hyperlink" Target="mailto:ccrockett@a-zbus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8F4F-A094-4B69-A40C-E65FE9C897D2}">
  <dimension ref="B3:U143"/>
  <sheetViews>
    <sheetView topLeftCell="A51" workbookViewId="0">
      <selection activeCell="H75" sqref="H75"/>
    </sheetView>
  </sheetViews>
  <sheetFormatPr defaultRowHeight="14.4"/>
  <cols>
    <col min="2" max="2" width="10.44140625" customWidth="1"/>
    <col min="3" max="3" width="11.33203125" customWidth="1"/>
    <col min="5" max="5" width="12.5546875" customWidth="1"/>
  </cols>
  <sheetData>
    <row r="3" spans="2:12">
      <c r="B3" s="1" t="s">
        <v>893</v>
      </c>
      <c r="F3" s="316" t="s">
        <v>910</v>
      </c>
      <c r="G3" s="312"/>
      <c r="H3" s="312"/>
      <c r="I3" s="332"/>
      <c r="J3" s="282"/>
      <c r="K3" s="283"/>
      <c r="L3" s="282"/>
    </row>
    <row r="4" spans="2:12">
      <c r="I4" s="282" t="s">
        <v>894</v>
      </c>
      <c r="J4" s="282"/>
      <c r="K4" s="283"/>
      <c r="L4" s="282"/>
    </row>
    <row r="5" spans="2:12">
      <c r="B5" s="284" t="s">
        <v>895</v>
      </c>
      <c r="I5" s="282"/>
      <c r="J5" s="282"/>
      <c r="K5" s="282"/>
      <c r="L5" s="282"/>
    </row>
    <row r="6" spans="2:12">
      <c r="B6" t="s">
        <v>896</v>
      </c>
      <c r="D6" s="284"/>
      <c r="E6" s="284"/>
      <c r="F6" s="284"/>
      <c r="G6" s="284"/>
      <c r="I6" s="281" t="s">
        <v>897</v>
      </c>
      <c r="J6" s="283"/>
      <c r="K6" s="282"/>
      <c r="L6" s="282"/>
    </row>
    <row r="7" spans="2:12">
      <c r="B7" s="7" t="s">
        <v>898</v>
      </c>
      <c r="C7" s="7"/>
      <c r="I7" s="282"/>
      <c r="J7" s="282"/>
      <c r="K7" s="282"/>
      <c r="L7" s="282"/>
    </row>
    <row r="8" spans="2:12">
      <c r="B8" t="s">
        <v>899</v>
      </c>
      <c r="I8" s="282"/>
      <c r="J8" s="282"/>
      <c r="K8" s="282"/>
      <c r="L8" s="282"/>
    </row>
    <row r="9" spans="2:12">
      <c r="B9" t="s">
        <v>900</v>
      </c>
      <c r="I9" s="282"/>
      <c r="J9" s="282"/>
      <c r="K9" s="282"/>
      <c r="L9" s="282"/>
    </row>
    <row r="10" spans="2:12" ht="15.6">
      <c r="B10" t="s">
        <v>901</v>
      </c>
      <c r="E10" t="s">
        <v>902</v>
      </c>
      <c r="I10" s="282"/>
      <c r="J10" s="282"/>
      <c r="K10" s="282"/>
      <c r="L10" s="285"/>
    </row>
    <row r="11" spans="2:12">
      <c r="I11" s="282"/>
      <c r="J11" s="282"/>
      <c r="K11" s="282"/>
    </row>
    <row r="12" spans="2:12">
      <c r="I12" s="282"/>
      <c r="J12" s="282"/>
      <c r="K12" s="282"/>
    </row>
    <row r="13" spans="2:12">
      <c r="B13" s="317" t="s">
        <v>903</v>
      </c>
      <c r="C13" s="318"/>
      <c r="D13" s="318"/>
      <c r="E13" s="318"/>
      <c r="F13" s="318"/>
      <c r="G13" s="318"/>
      <c r="H13" s="318"/>
      <c r="I13" s="319"/>
      <c r="J13" s="320"/>
      <c r="K13" s="282"/>
    </row>
    <row r="14" spans="2:12">
      <c r="B14" s="321"/>
      <c r="I14" s="282"/>
      <c r="J14" s="322"/>
      <c r="K14" s="282"/>
    </row>
    <row r="15" spans="2:12">
      <c r="B15" s="321" t="s">
        <v>904</v>
      </c>
      <c r="I15" s="282"/>
      <c r="J15" s="323">
        <v>338.54</v>
      </c>
      <c r="K15" s="282"/>
    </row>
    <row r="16" spans="2:12">
      <c r="B16" s="321" t="s">
        <v>905</v>
      </c>
      <c r="I16" s="282"/>
      <c r="J16" s="324">
        <v>322.79199999999997</v>
      </c>
      <c r="K16" s="282"/>
    </row>
    <row r="17" spans="2:12">
      <c r="B17" s="321" t="s">
        <v>906</v>
      </c>
      <c r="I17" s="282"/>
      <c r="J17" s="325">
        <f>+J15/J16</f>
        <v>1.048786834865796</v>
      </c>
      <c r="K17" s="282" t="s">
        <v>907</v>
      </c>
    </row>
    <row r="18" spans="2:12">
      <c r="B18" s="321"/>
      <c r="I18" s="282"/>
      <c r="J18" s="322"/>
      <c r="K18" s="282"/>
    </row>
    <row r="19" spans="2:12" ht="32.4">
      <c r="B19" s="326"/>
      <c r="C19" s="327" t="s">
        <v>908</v>
      </c>
      <c r="I19" s="282"/>
      <c r="J19" s="322"/>
      <c r="K19" s="282"/>
    </row>
    <row r="20" spans="2:12">
      <c r="B20" s="321"/>
      <c r="I20" s="282"/>
      <c r="J20" s="322"/>
      <c r="K20" s="282"/>
    </row>
    <row r="21" spans="2:12">
      <c r="B21" s="321"/>
      <c r="I21" s="282"/>
      <c r="J21" s="322"/>
      <c r="K21" s="282"/>
    </row>
    <row r="22" spans="2:12">
      <c r="B22" s="321"/>
      <c r="I22" s="282"/>
      <c r="J22" s="322"/>
      <c r="K22" s="282"/>
    </row>
    <row r="23" spans="2:12">
      <c r="B23" s="328"/>
      <c r="C23" s="192"/>
      <c r="D23" s="192"/>
      <c r="E23" s="192"/>
      <c r="F23" s="192"/>
      <c r="G23" s="192"/>
      <c r="H23" s="192"/>
      <c r="I23" s="329"/>
      <c r="J23" s="330"/>
      <c r="K23" s="282"/>
    </row>
    <row r="24" spans="2:12">
      <c r="I24" s="282"/>
      <c r="J24" s="282"/>
      <c r="K24" s="282"/>
    </row>
    <row r="25" spans="2:12">
      <c r="E25" s="331">
        <v>44774</v>
      </c>
      <c r="F25" s="347">
        <v>322.79199999999997</v>
      </c>
      <c r="I25" s="282"/>
      <c r="J25" s="282"/>
      <c r="K25" s="282"/>
    </row>
    <row r="26" spans="2:12">
      <c r="B26" s="331"/>
      <c r="C26" t="s">
        <v>909</v>
      </c>
      <c r="E26" s="331">
        <v>44805</v>
      </c>
      <c r="F26" s="347">
        <v>324.09100000000001</v>
      </c>
      <c r="I26" s="282"/>
      <c r="J26" s="282"/>
      <c r="K26" s="282"/>
    </row>
    <row r="27" spans="2:12">
      <c r="B27" s="331"/>
      <c r="C27" s="323"/>
      <c r="E27" s="331">
        <v>44835</v>
      </c>
      <c r="F27" s="347">
        <v>329.53399999999999</v>
      </c>
      <c r="I27" s="282"/>
      <c r="J27" s="282"/>
      <c r="K27" s="282"/>
    </row>
    <row r="28" spans="2:12">
      <c r="B28" s="331"/>
      <c r="C28" s="323"/>
      <c r="E28" s="331">
        <v>44866</v>
      </c>
      <c r="F28" s="347">
        <v>329.58100000000002</v>
      </c>
      <c r="I28" s="282"/>
      <c r="J28" s="282"/>
      <c r="K28" s="282"/>
      <c r="L28" s="282"/>
    </row>
    <row r="29" spans="2:12">
      <c r="B29" s="331"/>
      <c r="C29" s="323"/>
      <c r="E29" s="331">
        <v>44896</v>
      </c>
      <c r="F29" s="347">
        <v>329.80099999999999</v>
      </c>
      <c r="I29" s="282"/>
      <c r="J29" s="282"/>
      <c r="K29" s="282"/>
      <c r="L29" s="282"/>
    </row>
    <row r="30" spans="2:12">
      <c r="B30" s="331"/>
      <c r="C30" s="323"/>
      <c r="E30" s="331">
        <v>44927</v>
      </c>
      <c r="F30" s="347">
        <v>333.22399999999999</v>
      </c>
      <c r="I30" s="282"/>
      <c r="J30" s="282"/>
      <c r="K30" s="282"/>
      <c r="L30" s="282"/>
    </row>
    <row r="31" spans="2:12">
      <c r="B31" s="331"/>
      <c r="C31" s="323"/>
      <c r="E31" s="331">
        <v>44958</v>
      </c>
      <c r="F31" s="347">
        <v>335.4</v>
      </c>
      <c r="I31" s="282"/>
      <c r="J31" s="282"/>
      <c r="K31" s="282"/>
      <c r="L31" s="282"/>
    </row>
    <row r="32" spans="2:12">
      <c r="B32" s="331"/>
      <c r="C32" s="323"/>
      <c r="E32" s="331">
        <v>44986</v>
      </c>
      <c r="F32" s="347">
        <v>336.11900000000003</v>
      </c>
      <c r="I32" s="282"/>
      <c r="J32" s="282"/>
      <c r="K32" s="282"/>
      <c r="L32" s="282"/>
    </row>
    <row r="33" spans="2:12">
      <c r="B33" s="331"/>
      <c r="C33" s="323"/>
      <c r="E33" s="331">
        <v>45017</v>
      </c>
      <c r="F33" s="347">
        <v>337.09399999999999</v>
      </c>
      <c r="I33" s="282"/>
      <c r="J33" s="282"/>
      <c r="K33" s="282"/>
      <c r="L33" s="282"/>
    </row>
    <row r="34" spans="2:12">
      <c r="B34" s="331"/>
      <c r="C34" s="323"/>
      <c r="E34" s="331">
        <v>45047</v>
      </c>
      <c r="F34" s="347">
        <v>337.24900000000002</v>
      </c>
      <c r="I34" s="282"/>
      <c r="J34" s="282"/>
      <c r="K34" s="282"/>
      <c r="L34" s="282"/>
    </row>
    <row r="35" spans="2:12">
      <c r="B35" s="331"/>
      <c r="C35" s="323"/>
      <c r="E35" s="331">
        <v>45078</v>
      </c>
      <c r="F35" s="347">
        <v>336.67200000000003</v>
      </c>
      <c r="I35" s="282"/>
      <c r="J35" s="282"/>
      <c r="K35" s="282"/>
      <c r="L35" s="282"/>
    </row>
    <row r="36" spans="2:12">
      <c r="B36" s="331"/>
      <c r="C36" s="323"/>
      <c r="E36" s="331">
        <v>45108</v>
      </c>
      <c r="F36" s="347">
        <v>338.23099999999999</v>
      </c>
      <c r="I36" s="282"/>
      <c r="J36" s="282"/>
      <c r="K36" s="282"/>
      <c r="L36" s="282"/>
    </row>
    <row r="37" spans="2:12">
      <c r="B37" s="331"/>
      <c r="C37" s="323"/>
      <c r="E37" s="331">
        <v>45139</v>
      </c>
      <c r="F37" s="347">
        <v>338.54</v>
      </c>
      <c r="I37" s="282"/>
      <c r="J37" s="282"/>
      <c r="K37" s="282"/>
      <c r="L37" s="282"/>
    </row>
    <row r="38" spans="2:12">
      <c r="B38" s="331"/>
      <c r="C38" s="323"/>
      <c r="I38" s="282"/>
      <c r="J38" s="282"/>
      <c r="K38" s="282"/>
      <c r="L38" s="282"/>
    </row>
    <row r="39" spans="2:12" ht="18">
      <c r="B39" s="345" t="s">
        <v>949</v>
      </c>
      <c r="C39" s="344"/>
      <c r="D39" s="1"/>
      <c r="I39" s="282"/>
      <c r="J39" s="282"/>
      <c r="K39" s="282"/>
      <c r="L39" s="282"/>
    </row>
    <row r="40" spans="2:12">
      <c r="B40" s="331"/>
      <c r="C40" s="323"/>
      <c r="I40" s="282"/>
      <c r="J40" s="282"/>
      <c r="K40" s="282"/>
      <c r="L40" s="282"/>
    </row>
    <row r="41" spans="2:12">
      <c r="B41" s="1" t="s">
        <v>893</v>
      </c>
      <c r="I41" s="281"/>
      <c r="J41" s="282"/>
      <c r="K41" s="283"/>
      <c r="L41" s="282"/>
    </row>
    <row r="42" spans="2:12">
      <c r="I42" s="282" t="s">
        <v>894</v>
      </c>
      <c r="J42" s="282"/>
      <c r="K42" s="283"/>
      <c r="L42" s="282"/>
    </row>
    <row r="43" spans="2:12">
      <c r="B43" s="284" t="s">
        <v>895</v>
      </c>
      <c r="I43" s="282"/>
      <c r="J43" s="282"/>
      <c r="K43" s="282"/>
      <c r="L43" s="282"/>
    </row>
    <row r="44" spans="2:12">
      <c r="B44" t="s">
        <v>896</v>
      </c>
      <c r="D44" s="284"/>
      <c r="E44" s="284"/>
      <c r="F44" s="284"/>
      <c r="G44" s="284"/>
      <c r="I44" s="281" t="s">
        <v>897</v>
      </c>
      <c r="J44" s="283"/>
      <c r="K44" s="282"/>
      <c r="L44" s="282"/>
    </row>
    <row r="45" spans="2:12">
      <c r="B45" s="7" t="s">
        <v>898</v>
      </c>
      <c r="C45" s="7"/>
      <c r="I45" s="282"/>
      <c r="J45" s="282"/>
      <c r="K45" s="282"/>
      <c r="L45" s="282"/>
    </row>
    <row r="46" spans="2:12">
      <c r="B46" t="s">
        <v>899</v>
      </c>
      <c r="I46" s="282"/>
      <c r="J46" s="282"/>
      <c r="K46" s="282"/>
      <c r="L46" s="282"/>
    </row>
    <row r="47" spans="2:12">
      <c r="B47" t="s">
        <v>900</v>
      </c>
      <c r="I47" s="282"/>
      <c r="J47" s="282"/>
      <c r="K47" s="282"/>
      <c r="L47" s="282"/>
    </row>
    <row r="48" spans="2:12" ht="15.6">
      <c r="B48" t="s">
        <v>939</v>
      </c>
      <c r="E48" t="s">
        <v>940</v>
      </c>
      <c r="I48" s="282"/>
      <c r="J48" s="282"/>
      <c r="K48" s="282"/>
      <c r="L48" s="285"/>
    </row>
    <row r="49" spans="2:21">
      <c r="I49" s="282"/>
      <c r="J49" s="282"/>
      <c r="K49" s="282"/>
    </row>
    <row r="50" spans="2:21">
      <c r="C50" t="s">
        <v>941</v>
      </c>
      <c r="I50" s="282"/>
      <c r="J50" s="282"/>
      <c r="K50" s="282"/>
      <c r="O50" t="s">
        <v>948</v>
      </c>
    </row>
    <row r="51" spans="2:21">
      <c r="B51" s="317" t="s">
        <v>903</v>
      </c>
      <c r="C51" s="318"/>
      <c r="D51" s="318"/>
      <c r="E51" s="318"/>
      <c r="F51" s="318"/>
      <c r="G51" s="318"/>
      <c r="H51" s="318"/>
      <c r="I51" s="319"/>
      <c r="J51" s="320"/>
      <c r="K51" s="282"/>
      <c r="M51" s="317" t="s">
        <v>903</v>
      </c>
      <c r="N51" s="318"/>
      <c r="O51" s="318"/>
      <c r="P51" s="318"/>
      <c r="Q51" s="318"/>
      <c r="R51" s="318"/>
      <c r="S51" s="318"/>
      <c r="T51" s="319"/>
      <c r="U51" s="320"/>
    </row>
    <row r="52" spans="2:21">
      <c r="B52" s="321"/>
      <c r="I52" s="282"/>
      <c r="J52" s="322"/>
      <c r="K52" s="282"/>
      <c r="M52" s="321"/>
      <c r="T52" s="282"/>
      <c r="U52" s="322"/>
    </row>
    <row r="53" spans="2:21">
      <c r="B53" s="321" t="s">
        <v>942</v>
      </c>
      <c r="I53" s="282"/>
      <c r="J53" s="341">
        <v>340.10700000000003</v>
      </c>
      <c r="K53" s="282"/>
      <c r="M53" s="321" t="s">
        <v>942</v>
      </c>
      <c r="T53" s="282"/>
      <c r="U53" s="341">
        <v>340.10700000000003</v>
      </c>
    </row>
    <row r="54" spans="2:21">
      <c r="B54" s="321" t="s">
        <v>943</v>
      </c>
      <c r="I54" s="282"/>
      <c r="J54" s="324">
        <v>324.09100000000001</v>
      </c>
      <c r="K54" s="282"/>
      <c r="M54" s="321" t="s">
        <v>944</v>
      </c>
      <c r="T54" s="282"/>
      <c r="U54" s="324">
        <v>329.80099999999999</v>
      </c>
    </row>
    <row r="55" spans="2:21">
      <c r="B55" s="321" t="s">
        <v>906</v>
      </c>
      <c r="I55" s="282"/>
      <c r="J55" s="325">
        <f>+J53/J54</f>
        <v>1.0494182189570214</v>
      </c>
      <c r="K55" s="282"/>
      <c r="M55" s="321" t="s">
        <v>906</v>
      </c>
      <c r="T55" s="282"/>
      <c r="U55" s="325">
        <f>+U53/U54</f>
        <v>1.0312491472130165</v>
      </c>
    </row>
    <row r="56" spans="2:21">
      <c r="B56" s="321"/>
      <c r="I56" s="282"/>
      <c r="J56" s="322"/>
      <c r="K56" s="282"/>
      <c r="M56" s="321"/>
      <c r="T56" s="282"/>
      <c r="U56" s="322"/>
    </row>
    <row r="57" spans="2:21" ht="32.4">
      <c r="B57" s="326"/>
      <c r="C57" s="327" t="s">
        <v>908</v>
      </c>
      <c r="I57" s="282"/>
      <c r="J57" s="322"/>
      <c r="K57" s="282"/>
      <c r="M57" s="326"/>
      <c r="N57" s="327" t="s">
        <v>945</v>
      </c>
      <c r="T57" s="282"/>
      <c r="U57" s="322"/>
    </row>
    <row r="58" spans="2:21">
      <c r="B58" s="321"/>
      <c r="I58" s="282"/>
      <c r="J58" s="322"/>
      <c r="K58" s="282"/>
      <c r="M58" s="321"/>
      <c r="T58" s="282"/>
      <c r="U58" s="322"/>
    </row>
    <row r="59" spans="2:21">
      <c r="B59" s="321"/>
      <c r="I59" s="282"/>
      <c r="J59" s="322"/>
      <c r="K59" s="282"/>
      <c r="M59" s="321"/>
      <c r="T59" s="282"/>
      <c r="U59" s="322"/>
    </row>
    <row r="60" spans="2:21">
      <c r="B60" s="321"/>
      <c r="I60" s="282"/>
      <c r="J60" s="322"/>
      <c r="K60" s="282"/>
      <c r="M60" s="321"/>
      <c r="T60" s="282"/>
      <c r="U60" s="322"/>
    </row>
    <row r="61" spans="2:21">
      <c r="B61" s="328"/>
      <c r="C61" s="192"/>
      <c r="D61" s="192"/>
      <c r="E61" s="192"/>
      <c r="F61" s="192"/>
      <c r="G61" s="192"/>
      <c r="H61" s="192"/>
      <c r="I61" s="329"/>
      <c r="J61" s="330"/>
      <c r="K61" s="282"/>
      <c r="M61" s="328"/>
      <c r="N61" s="192"/>
      <c r="O61" s="192"/>
      <c r="P61" s="192"/>
      <c r="Q61" s="192"/>
      <c r="R61" s="192"/>
      <c r="S61" s="192"/>
      <c r="T61" s="329"/>
      <c r="U61" s="330"/>
    </row>
    <row r="62" spans="2:21">
      <c r="I62" s="282"/>
      <c r="J62" s="282"/>
      <c r="K62" s="282"/>
    </row>
    <row r="63" spans="2:21">
      <c r="I63" s="282"/>
      <c r="J63" s="282"/>
      <c r="K63" s="282"/>
    </row>
    <row r="64" spans="2:21">
      <c r="B64" s="331">
        <v>44440</v>
      </c>
      <c r="C64" s="346">
        <v>280.43099999999998</v>
      </c>
      <c r="I64" s="282"/>
      <c r="J64" s="282"/>
      <c r="K64" s="282"/>
    </row>
    <row r="65" spans="2:12">
      <c r="B65" s="331">
        <v>44470</v>
      </c>
      <c r="C65" s="347">
        <v>283.49599999999998</v>
      </c>
      <c r="I65" s="282"/>
      <c r="J65" s="282"/>
      <c r="K65" s="282"/>
    </row>
    <row r="66" spans="2:12">
      <c r="B66" s="331">
        <v>44501</v>
      </c>
      <c r="C66" s="347">
        <v>283.77699999999999</v>
      </c>
      <c r="I66" s="282"/>
      <c r="J66" s="282"/>
      <c r="K66" s="282"/>
      <c r="L66" s="282"/>
    </row>
    <row r="67" spans="2:12">
      <c r="B67" s="331">
        <v>44531</v>
      </c>
      <c r="C67" s="347">
        <v>285.69499999999999</v>
      </c>
      <c r="I67" s="282"/>
      <c r="J67" s="282"/>
      <c r="K67" s="282"/>
      <c r="L67" s="282"/>
    </row>
    <row r="68" spans="2:12">
      <c r="B68" s="331">
        <v>44562</v>
      </c>
      <c r="C68" s="347">
        <v>294.55599999999998</v>
      </c>
      <c r="I68" s="282"/>
      <c r="J68" s="282"/>
      <c r="K68" s="282"/>
      <c r="L68" s="282"/>
    </row>
    <row r="69" spans="2:12">
      <c r="B69" s="331">
        <v>44593</v>
      </c>
      <c r="C69" s="347">
        <v>298.149</v>
      </c>
      <c r="I69" s="282"/>
      <c r="J69" s="282"/>
      <c r="K69" s="282"/>
      <c r="L69" s="282"/>
    </row>
    <row r="70" spans="2:12">
      <c r="B70" s="331">
        <v>44621</v>
      </c>
      <c r="C70" s="347">
        <v>299.89100000000002</v>
      </c>
      <c r="I70" s="282"/>
      <c r="J70" s="282"/>
      <c r="K70" s="282"/>
      <c r="L70" s="282"/>
    </row>
    <row r="71" spans="2:12">
      <c r="B71" s="331">
        <v>44652</v>
      </c>
      <c r="C71" s="347">
        <v>303.899</v>
      </c>
      <c r="I71" s="282"/>
      <c r="J71" s="282"/>
      <c r="K71" s="282"/>
      <c r="L71" s="282"/>
    </row>
    <row r="72" spans="2:12">
      <c r="B72" s="331">
        <v>44682</v>
      </c>
      <c r="C72" s="347">
        <v>315.48599999999999</v>
      </c>
      <c r="I72" s="282"/>
      <c r="J72" s="282"/>
      <c r="K72" s="282"/>
      <c r="L72" s="282"/>
    </row>
    <row r="73" spans="2:12">
      <c r="B73" s="331">
        <v>44713</v>
      </c>
      <c r="C73" s="347">
        <v>319.47899999999998</v>
      </c>
      <c r="I73" s="282"/>
      <c r="J73" s="282"/>
      <c r="K73" s="282"/>
      <c r="L73" s="282"/>
    </row>
    <row r="74" spans="2:12">
      <c r="B74" s="331">
        <v>44743</v>
      </c>
      <c r="C74" s="347">
        <v>320.39800000000002</v>
      </c>
      <c r="I74" s="282"/>
      <c r="J74" s="282"/>
      <c r="K74" s="282"/>
      <c r="L74" s="282"/>
    </row>
    <row r="75" spans="2:12">
      <c r="B75" s="331">
        <v>44774</v>
      </c>
      <c r="C75" s="347">
        <v>322.79199999999997</v>
      </c>
      <c r="I75" s="282"/>
      <c r="J75" s="282"/>
      <c r="K75" s="282"/>
      <c r="L75" s="282"/>
    </row>
    <row r="76" spans="2:12">
      <c r="B76" s="331">
        <v>44805</v>
      </c>
      <c r="C76" s="346">
        <v>324.09100000000001</v>
      </c>
      <c r="D76" t="s">
        <v>946</v>
      </c>
      <c r="I76" s="282"/>
      <c r="J76" s="282"/>
      <c r="K76" s="282"/>
      <c r="L76" s="282"/>
    </row>
    <row r="77" spans="2:12">
      <c r="B77" s="331">
        <v>44835</v>
      </c>
      <c r="C77" s="347">
        <v>329.53399999999999</v>
      </c>
      <c r="I77" s="282"/>
      <c r="J77" s="282"/>
      <c r="K77" s="282"/>
      <c r="L77" s="282"/>
    </row>
    <row r="78" spans="2:12">
      <c r="B78" s="331">
        <v>44866</v>
      </c>
      <c r="C78" s="347">
        <v>329.58100000000002</v>
      </c>
      <c r="I78" s="282"/>
      <c r="J78" s="282"/>
      <c r="K78" s="282"/>
      <c r="L78" s="282"/>
    </row>
    <row r="79" spans="2:12">
      <c r="B79" s="331">
        <v>44896</v>
      </c>
      <c r="C79" s="346">
        <v>329.80099999999999</v>
      </c>
      <c r="D79" t="s">
        <v>947</v>
      </c>
      <c r="I79" s="289"/>
      <c r="J79" s="289"/>
      <c r="K79" s="289"/>
      <c r="L79" s="289"/>
    </row>
    <row r="80" spans="2:12">
      <c r="B80" s="331">
        <v>44927</v>
      </c>
      <c r="C80" s="347">
        <v>333.22399999999999</v>
      </c>
      <c r="I80" s="289"/>
      <c r="J80" s="289"/>
      <c r="K80" s="289"/>
      <c r="L80" s="289"/>
    </row>
    <row r="81" spans="2:19">
      <c r="B81" s="331">
        <v>44958</v>
      </c>
      <c r="C81" s="347">
        <v>335.4</v>
      </c>
      <c r="I81" s="342"/>
      <c r="J81" s="289"/>
      <c r="K81" s="342"/>
      <c r="L81" s="289"/>
      <c r="N81" s="343"/>
      <c r="O81" s="343"/>
      <c r="P81" s="343"/>
      <c r="Q81" s="343"/>
      <c r="R81" s="23"/>
      <c r="S81" s="23"/>
    </row>
    <row r="82" spans="2:19">
      <c r="B82" s="331">
        <v>44986</v>
      </c>
      <c r="C82" s="347">
        <v>336.11900000000003</v>
      </c>
      <c r="I82" s="289"/>
      <c r="J82" s="289"/>
      <c r="K82" s="289"/>
      <c r="L82" s="289"/>
      <c r="N82" s="38"/>
      <c r="O82" s="38"/>
      <c r="P82" s="38"/>
      <c r="Q82" s="38"/>
      <c r="R82" s="343"/>
      <c r="S82" s="343"/>
    </row>
    <row r="83" spans="2:19">
      <c r="B83" s="331">
        <v>45017</v>
      </c>
      <c r="C83" s="347">
        <v>338.01</v>
      </c>
      <c r="I83" s="289"/>
      <c r="J83" s="289"/>
      <c r="K83" s="289"/>
      <c r="L83" s="289"/>
      <c r="N83" s="290"/>
      <c r="O83" s="290"/>
      <c r="P83" s="290"/>
      <c r="Q83" s="290"/>
      <c r="R83" s="290"/>
      <c r="S83" s="290"/>
    </row>
    <row r="84" spans="2:19">
      <c r="B84" s="331">
        <v>45047</v>
      </c>
      <c r="C84" s="347">
        <v>338.31099999999998</v>
      </c>
      <c r="I84" s="289"/>
      <c r="J84" s="289"/>
      <c r="K84" s="289"/>
      <c r="L84" s="289"/>
      <c r="N84" s="290"/>
      <c r="O84" s="290"/>
      <c r="P84" s="290"/>
      <c r="Q84" s="290"/>
      <c r="R84" s="290"/>
      <c r="S84" s="290"/>
    </row>
    <row r="85" spans="2:19">
      <c r="B85" s="331">
        <v>45078</v>
      </c>
      <c r="C85" s="347">
        <v>337.41899999999998</v>
      </c>
      <c r="I85" s="289"/>
      <c r="J85" s="289"/>
      <c r="K85" s="289"/>
      <c r="L85" s="289"/>
      <c r="N85" s="290"/>
      <c r="O85" s="290"/>
      <c r="P85" s="290"/>
      <c r="Q85" s="290"/>
      <c r="R85" s="290"/>
      <c r="S85" s="290"/>
    </row>
    <row r="86" spans="2:19">
      <c r="B86" s="331">
        <v>45108</v>
      </c>
      <c r="C86" s="347">
        <v>339.13900000000001</v>
      </c>
      <c r="I86" s="289"/>
      <c r="J86" s="289"/>
      <c r="K86" s="289"/>
      <c r="L86" s="289"/>
      <c r="N86" s="289"/>
      <c r="O86" s="289"/>
      <c r="P86" s="289"/>
      <c r="Q86" s="289"/>
      <c r="R86" s="289"/>
      <c r="S86" s="289"/>
    </row>
    <row r="87" spans="2:19">
      <c r="B87" s="331">
        <v>45139</v>
      </c>
      <c r="C87" s="347">
        <v>338.50700000000001</v>
      </c>
      <c r="I87" s="289"/>
      <c r="J87" s="289"/>
      <c r="K87" s="289"/>
      <c r="L87" s="289"/>
      <c r="N87" s="289"/>
      <c r="O87" s="289"/>
      <c r="P87" s="289"/>
      <c r="Q87" s="289"/>
      <c r="R87" s="289"/>
      <c r="S87" s="289"/>
    </row>
    <row r="88" spans="2:19">
      <c r="B88" s="331">
        <v>45170</v>
      </c>
      <c r="C88" s="347">
        <v>338.75200000000001</v>
      </c>
      <c r="I88" s="289"/>
      <c r="J88" s="289"/>
      <c r="K88" s="289"/>
      <c r="L88" s="289"/>
      <c r="N88" s="289"/>
      <c r="O88" s="289"/>
      <c r="P88" s="289"/>
      <c r="Q88" s="289"/>
      <c r="R88" s="289"/>
      <c r="S88" s="289"/>
    </row>
    <row r="89" spans="2:19">
      <c r="B89" s="331">
        <v>45200</v>
      </c>
      <c r="C89" s="346">
        <v>340.10700000000003</v>
      </c>
      <c r="I89" s="289"/>
      <c r="J89" s="289"/>
      <c r="K89" s="289"/>
      <c r="L89" s="289"/>
      <c r="N89" s="289"/>
      <c r="O89" s="289"/>
      <c r="P89" s="289"/>
      <c r="Q89" s="289"/>
    </row>
    <row r="93" spans="2:19" ht="18">
      <c r="B93" s="345" t="s">
        <v>956</v>
      </c>
      <c r="C93" s="344"/>
      <c r="D93" s="1"/>
      <c r="I93" s="282"/>
      <c r="J93" s="282"/>
      <c r="K93" s="282"/>
      <c r="L93" s="282"/>
    </row>
    <row r="94" spans="2:19">
      <c r="B94" s="331"/>
      <c r="C94" s="323"/>
      <c r="I94" s="282"/>
      <c r="J94" s="282"/>
      <c r="K94" s="282"/>
      <c r="L94" s="282"/>
    </row>
    <row r="95" spans="2:19">
      <c r="B95" s="1" t="s">
        <v>893</v>
      </c>
      <c r="I95" s="281"/>
      <c r="J95" s="282"/>
      <c r="K95" s="283"/>
      <c r="L95" s="282"/>
    </row>
    <row r="96" spans="2:19">
      <c r="I96" s="282" t="s">
        <v>894</v>
      </c>
      <c r="J96" s="282"/>
      <c r="K96" s="283"/>
      <c r="L96" s="282"/>
    </row>
    <row r="97" spans="2:12">
      <c r="B97" s="284" t="s">
        <v>895</v>
      </c>
      <c r="I97" s="282"/>
      <c r="J97" s="282"/>
      <c r="K97" s="282"/>
      <c r="L97" s="282"/>
    </row>
    <row r="98" spans="2:12">
      <c r="B98" t="s">
        <v>896</v>
      </c>
      <c r="D98" s="284"/>
      <c r="E98" s="284"/>
      <c r="F98" s="284"/>
      <c r="G98" s="284"/>
      <c r="I98" s="281" t="s">
        <v>897</v>
      </c>
      <c r="J98" s="283"/>
      <c r="K98" s="282"/>
      <c r="L98" s="282"/>
    </row>
    <row r="99" spans="2:12">
      <c r="B99" s="7" t="s">
        <v>898</v>
      </c>
      <c r="C99" s="7"/>
      <c r="I99" s="282"/>
      <c r="J99" s="282"/>
      <c r="K99" s="282"/>
      <c r="L99" s="282"/>
    </row>
    <row r="100" spans="2:12">
      <c r="B100" t="s">
        <v>899</v>
      </c>
      <c r="I100" s="282"/>
      <c r="J100" s="282"/>
      <c r="K100" s="282"/>
      <c r="L100" s="282"/>
    </row>
    <row r="101" spans="2:12">
      <c r="B101" t="s">
        <v>900</v>
      </c>
      <c r="I101" s="282"/>
      <c r="J101" s="282"/>
      <c r="K101" s="282"/>
      <c r="L101" s="282"/>
    </row>
    <row r="102" spans="2:12" ht="15.6">
      <c r="B102" t="s">
        <v>939</v>
      </c>
      <c r="E102" t="s">
        <v>958</v>
      </c>
      <c r="I102" s="282"/>
      <c r="J102" s="282"/>
      <c r="K102" s="282"/>
      <c r="L102" s="285"/>
    </row>
    <row r="103" spans="2:12">
      <c r="I103" s="282"/>
      <c r="J103" s="282"/>
      <c r="K103" s="282"/>
    </row>
    <row r="104" spans="2:12">
      <c r="C104" s="1" t="s">
        <v>957</v>
      </c>
      <c r="I104" s="282"/>
      <c r="J104" s="282"/>
      <c r="K104" s="282"/>
    </row>
    <row r="105" spans="2:12">
      <c r="B105" s="317" t="s">
        <v>903</v>
      </c>
      <c r="C105" s="318"/>
      <c r="D105" s="318"/>
      <c r="E105" s="318"/>
      <c r="F105" s="318"/>
      <c r="G105" s="318"/>
      <c r="H105" s="318"/>
      <c r="I105" s="319"/>
      <c r="J105" s="320"/>
      <c r="K105" s="282"/>
    </row>
    <row r="106" spans="2:12">
      <c r="B106" s="321"/>
      <c r="I106" s="282"/>
      <c r="J106" s="322"/>
      <c r="K106" s="282"/>
    </row>
    <row r="107" spans="2:12">
      <c r="B107" s="321" t="s">
        <v>950</v>
      </c>
      <c r="I107" s="282"/>
      <c r="J107" s="341">
        <v>340</v>
      </c>
      <c r="K107" s="282"/>
    </row>
    <row r="108" spans="2:12">
      <c r="B108" s="321" t="s">
        <v>905</v>
      </c>
      <c r="I108" s="282"/>
      <c r="J108" s="324">
        <v>322.79199999999997</v>
      </c>
      <c r="K108" s="282"/>
    </row>
    <row r="109" spans="2:12">
      <c r="B109" s="321" t="s">
        <v>906</v>
      </c>
      <c r="I109" s="282"/>
      <c r="J109" s="325">
        <f>+J107/J108</f>
        <v>1.0533098713722771</v>
      </c>
      <c r="K109" s="282"/>
    </row>
    <row r="110" spans="2:12">
      <c r="B110" s="321"/>
      <c r="I110" s="282"/>
      <c r="J110" s="322"/>
      <c r="K110" s="282"/>
    </row>
    <row r="111" spans="2:12" ht="32.4">
      <c r="B111" s="326"/>
      <c r="C111" s="327" t="s">
        <v>953</v>
      </c>
      <c r="I111" s="282"/>
      <c r="J111" s="322"/>
      <c r="K111" s="282"/>
    </row>
    <row r="112" spans="2:12">
      <c r="B112" s="321"/>
      <c r="I112" s="282"/>
      <c r="J112" s="322"/>
      <c r="K112" s="282"/>
    </row>
    <row r="113" spans="2:12">
      <c r="B113" s="321"/>
      <c r="I113" s="282"/>
      <c r="J113" s="322"/>
      <c r="K113" s="282"/>
    </row>
    <row r="114" spans="2:12">
      <c r="B114" s="321"/>
      <c r="I114" s="282"/>
      <c r="J114" s="322"/>
      <c r="K114" s="282"/>
    </row>
    <row r="115" spans="2:12">
      <c r="B115" s="328"/>
      <c r="C115" s="192"/>
      <c r="D115" s="192"/>
      <c r="E115" s="192"/>
      <c r="F115" s="192"/>
      <c r="G115" s="192"/>
      <c r="H115" s="192"/>
      <c r="I115" s="329"/>
      <c r="J115" s="330"/>
      <c r="K115" s="282"/>
    </row>
    <row r="116" spans="2:12">
      <c r="I116" s="282"/>
      <c r="J116" s="282"/>
      <c r="K116" s="282"/>
    </row>
    <row r="117" spans="2:12">
      <c r="I117" s="282"/>
      <c r="J117" s="282"/>
      <c r="K117" s="282"/>
    </row>
    <row r="118" spans="2:12">
      <c r="B118" s="331"/>
      <c r="C118" s="331">
        <v>44531</v>
      </c>
      <c r="D118" s="346">
        <v>285.69499999999999</v>
      </c>
      <c r="E118" t="s">
        <v>951</v>
      </c>
      <c r="I118" s="282"/>
      <c r="J118" s="282"/>
      <c r="K118" s="282"/>
    </row>
    <row r="119" spans="2:12">
      <c r="B119" s="331"/>
      <c r="C119" s="331">
        <v>44562</v>
      </c>
      <c r="D119" s="347">
        <v>294.55599999999998</v>
      </c>
      <c r="I119" s="282"/>
      <c r="J119" s="282"/>
      <c r="K119" s="282"/>
    </row>
    <row r="120" spans="2:12">
      <c r="B120" s="331"/>
      <c r="C120" s="331">
        <v>44593</v>
      </c>
      <c r="D120" s="347">
        <v>298.149</v>
      </c>
      <c r="I120" s="282"/>
      <c r="J120" s="282"/>
      <c r="K120" s="282"/>
      <c r="L120" s="282"/>
    </row>
    <row r="121" spans="2:12">
      <c r="B121" s="331"/>
      <c r="C121" s="331">
        <v>44621</v>
      </c>
      <c r="D121" s="347">
        <v>299.89100000000002</v>
      </c>
      <c r="I121" s="282"/>
      <c r="J121" s="282"/>
      <c r="K121" s="282"/>
      <c r="L121" s="282"/>
    </row>
    <row r="122" spans="2:12">
      <c r="B122" s="331"/>
      <c r="C122" s="331">
        <v>44652</v>
      </c>
      <c r="D122" s="347">
        <v>303.899</v>
      </c>
      <c r="I122" s="282"/>
      <c r="J122" s="282"/>
      <c r="K122" s="282"/>
      <c r="L122" s="282"/>
    </row>
    <row r="123" spans="2:12">
      <c r="B123" s="331"/>
      <c r="C123" s="331">
        <v>44682</v>
      </c>
      <c r="D123" s="347">
        <v>315.48599999999999</v>
      </c>
      <c r="I123" s="282"/>
      <c r="J123" s="282"/>
      <c r="K123" s="282"/>
      <c r="L123" s="282"/>
    </row>
    <row r="124" spans="2:12">
      <c r="B124" s="331"/>
      <c r="C124" s="331">
        <v>44713</v>
      </c>
      <c r="D124" s="347">
        <v>319.47899999999998</v>
      </c>
      <c r="I124" s="282"/>
      <c r="J124" s="282"/>
      <c r="K124" s="282"/>
      <c r="L124" s="282"/>
    </row>
    <row r="125" spans="2:12">
      <c r="B125" s="331"/>
      <c r="C125" s="331">
        <v>44743</v>
      </c>
      <c r="D125" s="347">
        <v>320.39800000000002</v>
      </c>
      <c r="I125" s="282"/>
      <c r="J125" s="282"/>
      <c r="K125" s="282"/>
      <c r="L125" s="282"/>
    </row>
    <row r="126" spans="2:12">
      <c r="B126" s="331"/>
      <c r="C126" s="331">
        <v>44774</v>
      </c>
      <c r="D126" s="346">
        <v>322.79199999999997</v>
      </c>
      <c r="E126" t="s">
        <v>952</v>
      </c>
      <c r="I126" s="282"/>
      <c r="J126" s="282"/>
      <c r="K126" s="282"/>
      <c r="L126" s="282"/>
    </row>
    <row r="127" spans="2:12">
      <c r="B127" s="331"/>
      <c r="C127" s="331">
        <v>44805</v>
      </c>
      <c r="D127" s="347">
        <v>324.09100000000001</v>
      </c>
      <c r="I127" s="282"/>
      <c r="J127" s="282"/>
      <c r="K127" s="282"/>
      <c r="L127" s="282"/>
    </row>
    <row r="128" spans="2:12">
      <c r="B128" s="331"/>
      <c r="C128" s="331">
        <v>44835</v>
      </c>
      <c r="D128" s="347">
        <v>329.53399999999999</v>
      </c>
      <c r="I128" s="282"/>
      <c r="J128" s="282"/>
      <c r="K128" s="282"/>
      <c r="L128" s="282"/>
    </row>
    <row r="129" spans="2:19">
      <c r="B129" s="331"/>
      <c r="C129" s="331">
        <v>44866</v>
      </c>
      <c r="D129" s="347">
        <v>329.58100000000002</v>
      </c>
      <c r="I129" s="282"/>
      <c r="J129" s="282"/>
      <c r="K129" s="282"/>
      <c r="L129" s="282"/>
    </row>
    <row r="130" spans="2:19">
      <c r="B130" s="331"/>
      <c r="C130" s="331">
        <v>44896</v>
      </c>
      <c r="D130" s="347">
        <v>329.80099999999999</v>
      </c>
      <c r="I130" s="282"/>
      <c r="J130" s="282"/>
      <c r="K130" s="282"/>
      <c r="L130" s="282"/>
    </row>
    <row r="131" spans="2:19">
      <c r="B131" s="331"/>
      <c r="C131" s="331">
        <v>44927</v>
      </c>
      <c r="D131" s="347">
        <v>333.22399999999999</v>
      </c>
      <c r="I131" s="282"/>
      <c r="J131" s="282"/>
      <c r="K131" s="282"/>
      <c r="L131" s="282"/>
    </row>
    <row r="132" spans="2:19">
      <c r="B132" s="331"/>
      <c r="C132" s="331">
        <v>44958</v>
      </c>
      <c r="D132" s="347">
        <v>335.4</v>
      </c>
      <c r="I132" s="282"/>
      <c r="J132" s="282"/>
      <c r="K132" s="282"/>
      <c r="L132" s="282"/>
    </row>
    <row r="133" spans="2:19">
      <c r="B133" s="331"/>
      <c r="C133" s="331">
        <v>44986</v>
      </c>
      <c r="D133" s="347">
        <v>336.11900000000003</v>
      </c>
      <c r="I133" s="289"/>
      <c r="J133" s="289"/>
      <c r="K133" s="289"/>
      <c r="L133" s="289"/>
    </row>
    <row r="134" spans="2:19">
      <c r="B134" s="331"/>
      <c r="C134" s="331">
        <v>45017</v>
      </c>
      <c r="D134" s="347">
        <v>337.09399999999999</v>
      </c>
      <c r="I134" s="289"/>
      <c r="J134" s="289"/>
      <c r="K134" s="289"/>
      <c r="L134" s="289"/>
    </row>
    <row r="135" spans="2:19">
      <c r="B135" s="331"/>
      <c r="C135" s="331">
        <v>45047</v>
      </c>
      <c r="D135" s="347">
        <v>337.24900000000002</v>
      </c>
      <c r="I135" s="342"/>
      <c r="J135" s="289"/>
      <c r="K135" s="342"/>
      <c r="L135" s="289"/>
      <c r="P135" s="343"/>
      <c r="Q135" s="343"/>
      <c r="R135" s="23"/>
      <c r="S135" s="23"/>
    </row>
    <row r="136" spans="2:19">
      <c r="B136" s="331"/>
      <c r="C136" s="331">
        <v>45078</v>
      </c>
      <c r="D136" s="347">
        <v>336.64299999999997</v>
      </c>
      <c r="I136" s="289"/>
      <c r="J136" s="289"/>
      <c r="K136" s="289"/>
      <c r="L136" s="289"/>
      <c r="P136" s="38"/>
      <c r="Q136" s="38"/>
      <c r="R136" s="343"/>
      <c r="S136" s="343"/>
    </row>
    <row r="137" spans="2:19">
      <c r="B137" s="331"/>
      <c r="C137" s="331">
        <v>45108</v>
      </c>
      <c r="D137" s="347">
        <v>338.19900000000001</v>
      </c>
      <c r="I137" s="289"/>
      <c r="J137" s="289"/>
      <c r="K137" s="289"/>
      <c r="L137" s="289"/>
      <c r="P137" s="290"/>
      <c r="Q137" s="290"/>
      <c r="R137" s="290"/>
      <c r="S137" s="290"/>
    </row>
    <row r="138" spans="2:19">
      <c r="B138" s="331"/>
      <c r="C138" s="331">
        <v>45139</v>
      </c>
      <c r="D138" s="347">
        <v>338.50700000000001</v>
      </c>
      <c r="I138" s="289"/>
      <c r="J138" s="289"/>
      <c r="K138" s="289"/>
      <c r="L138" s="289"/>
      <c r="P138" s="290"/>
      <c r="Q138" s="290"/>
      <c r="R138" s="290"/>
      <c r="S138" s="290"/>
    </row>
    <row r="139" spans="2:19">
      <c r="B139" s="331"/>
      <c r="C139" s="331">
        <v>45170</v>
      </c>
      <c r="D139" s="347">
        <v>338.75200000000001</v>
      </c>
      <c r="I139" s="289"/>
      <c r="J139" s="289"/>
      <c r="K139" s="289"/>
      <c r="L139" s="289"/>
      <c r="P139" s="290"/>
      <c r="Q139" s="290"/>
      <c r="R139" s="290"/>
      <c r="S139" s="290"/>
    </row>
    <row r="140" spans="2:19">
      <c r="B140" s="331"/>
      <c r="C140" s="331">
        <v>45200</v>
      </c>
      <c r="D140" s="347">
        <v>340.10700000000003</v>
      </c>
      <c r="I140" s="289"/>
      <c r="J140" s="289"/>
      <c r="K140" s="289"/>
      <c r="L140" s="289"/>
      <c r="P140" s="289"/>
      <c r="Q140" s="289"/>
      <c r="R140" s="289"/>
      <c r="S140" s="289"/>
    </row>
    <row r="141" spans="2:19">
      <c r="B141" s="331"/>
      <c r="C141" s="331">
        <v>45231</v>
      </c>
      <c r="D141" s="346">
        <v>340</v>
      </c>
      <c r="I141" s="289"/>
      <c r="J141" s="289"/>
      <c r="K141" s="289"/>
      <c r="L141" s="289"/>
      <c r="P141" s="289"/>
      <c r="Q141" s="289"/>
      <c r="R141" s="289"/>
      <c r="S141" s="289"/>
    </row>
    <row r="142" spans="2:19">
      <c r="B142" s="331"/>
      <c r="C142" s="323"/>
      <c r="I142" s="289"/>
      <c r="J142" s="289"/>
      <c r="K142" s="289"/>
      <c r="L142" s="289"/>
      <c r="P142" s="289"/>
      <c r="Q142" s="289"/>
      <c r="R142" s="289"/>
      <c r="S142" s="289"/>
    </row>
    <row r="143" spans="2:19">
      <c r="B143" s="331"/>
      <c r="I143" s="289"/>
      <c r="J143" s="289"/>
      <c r="K143" s="289"/>
      <c r="L143" s="289"/>
      <c r="P143" s="289"/>
      <c r="Q143" s="289"/>
    </row>
  </sheetData>
  <sheetProtection algorithmName="SHA-512" hashValue="o97y4lot3CbC/pIpCjZVlByPAZMbJQF9jCO0oYPhoj92aM/gt32PZig5RfD/as1Z24Qy3/oX1C/fdQOkK+1+LQ==" saltValue="5whrvanE5k3MWuxkZm4Srg==" spinCount="100000" sheet="1" objects="1" scenarios="1"/>
  <hyperlinks>
    <hyperlink ref="I6" r:id="rId1" display="https://fred.stlouisfed.org/series/WPU1413" xr:uid="{ED378C72-5709-494D-B5D3-156BAD1E23A7}"/>
    <hyperlink ref="I44" r:id="rId2" display="https://fred.stlouisfed.org/series/WPU1413" xr:uid="{772B056B-AF46-4F35-8930-74A42379BC02}"/>
    <hyperlink ref="I98" r:id="rId3" display="https://fred.stlouisfed.org/series/WPU1413" xr:uid="{08A0F84B-7047-4D4D-9274-9E564F9584C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50ED-4768-42F9-9F2A-9F672C2A1E19}">
  <dimension ref="A2:P122"/>
  <sheetViews>
    <sheetView workbookViewId="0"/>
  </sheetViews>
  <sheetFormatPr defaultRowHeight="14.4"/>
  <cols>
    <col min="7" max="7" width="13.109375" customWidth="1"/>
    <col min="9" max="9" width="12.33203125" customWidth="1"/>
    <col min="10" max="11" width="44.33203125" bestFit="1" customWidth="1"/>
    <col min="12" max="12" width="25.109375" bestFit="1" customWidth="1"/>
    <col min="15" max="15" width="11.88671875" customWidth="1"/>
    <col min="16" max="16" width="12.109375" customWidth="1"/>
  </cols>
  <sheetData>
    <row r="2" spans="3:12">
      <c r="H2" s="1" t="s">
        <v>365</v>
      </c>
    </row>
    <row r="4" spans="3:12">
      <c r="C4" s="1"/>
    </row>
    <row r="5" spans="3:12">
      <c r="C5" s="1"/>
    </row>
    <row r="6" spans="3:12">
      <c r="I6" s="316" t="s">
        <v>890</v>
      </c>
      <c r="J6" s="312"/>
    </row>
    <row r="7" spans="3:12">
      <c r="C7" s="1" t="s">
        <v>223</v>
      </c>
    </row>
    <row r="9" spans="3:12" ht="15" thickBot="1">
      <c r="C9" s="1" t="s">
        <v>1</v>
      </c>
      <c r="F9" s="2" t="s">
        <v>392</v>
      </c>
      <c r="G9" s="2"/>
    </row>
    <row r="11" spans="3:12" ht="15" thickBot="1">
      <c r="C11" s="1" t="s">
        <v>2</v>
      </c>
      <c r="F11" s="2" t="s">
        <v>393</v>
      </c>
      <c r="G11" s="2"/>
    </row>
    <row r="14" spans="3:12">
      <c r="C14" s="1" t="s">
        <v>366</v>
      </c>
      <c r="G14" s="37" t="s">
        <v>367</v>
      </c>
      <c r="J14" s="37" t="s">
        <v>368</v>
      </c>
    </row>
    <row r="15" spans="3:12" ht="15" thickBot="1">
      <c r="C15" t="s">
        <v>369</v>
      </c>
      <c r="G15" s="84">
        <v>355790</v>
      </c>
      <c r="H15" s="64">
        <v>411840</v>
      </c>
      <c r="I15" s="313">
        <f>H15*1.053</f>
        <v>433667.51999999996</v>
      </c>
      <c r="J15" s="84">
        <v>315290</v>
      </c>
      <c r="K15" s="64">
        <v>351034</v>
      </c>
      <c r="L15" s="313">
        <f>K15*1.053</f>
        <v>369638.80199999997</v>
      </c>
    </row>
    <row r="16" spans="3:12">
      <c r="G16" s="61"/>
      <c r="H16" s="61"/>
      <c r="I16" s="61"/>
      <c r="J16" s="130"/>
      <c r="K16" s="61"/>
      <c r="L16" s="61"/>
    </row>
    <row r="17" spans="2:16" ht="15" thickBot="1">
      <c r="C17" t="s">
        <v>370</v>
      </c>
      <c r="G17" s="84">
        <v>380490</v>
      </c>
      <c r="H17" s="64">
        <v>436540</v>
      </c>
      <c r="I17" s="313">
        <f>H17*1.053</f>
        <v>459676.62</v>
      </c>
      <c r="J17" s="84">
        <v>339990</v>
      </c>
      <c r="K17" s="64">
        <v>375733</v>
      </c>
      <c r="L17" s="313">
        <f>K17*1.053</f>
        <v>395646.84899999999</v>
      </c>
    </row>
    <row r="18" spans="2:16">
      <c r="G18" s="61"/>
      <c r="H18" s="61"/>
      <c r="I18" s="61"/>
      <c r="J18" s="130"/>
      <c r="K18" s="61"/>
      <c r="L18" s="61"/>
    </row>
    <row r="19" spans="2:16" ht="15" thickBot="1">
      <c r="C19" t="s">
        <v>371</v>
      </c>
      <c r="G19" s="84" t="s">
        <v>204</v>
      </c>
      <c r="H19" s="61"/>
      <c r="I19" s="61"/>
      <c r="J19" s="84" t="s">
        <v>204</v>
      </c>
      <c r="K19" s="61"/>
      <c r="L19" s="61"/>
    </row>
    <row r="20" spans="2:16">
      <c r="G20" s="61"/>
      <c r="H20" s="61"/>
      <c r="I20" s="61"/>
      <c r="J20" s="130"/>
      <c r="K20" s="61"/>
      <c r="L20" s="61"/>
    </row>
    <row r="21" spans="2:16" ht="15" thickBot="1">
      <c r="C21" t="s">
        <v>372</v>
      </c>
      <c r="G21" s="84">
        <v>400968</v>
      </c>
      <c r="H21" s="64">
        <v>457018</v>
      </c>
      <c r="I21" s="313">
        <f>H21*1.053</f>
        <v>481239.95399999997</v>
      </c>
      <c r="J21" s="84">
        <v>360468</v>
      </c>
      <c r="K21" s="64">
        <v>396211</v>
      </c>
      <c r="L21" s="313">
        <f>K21*1.053</f>
        <v>417210.18299999996</v>
      </c>
    </row>
    <row r="22" spans="2:16">
      <c r="G22" s="61"/>
      <c r="H22" s="61"/>
      <c r="I22" s="61"/>
      <c r="J22" s="61"/>
      <c r="K22" s="61"/>
      <c r="L22" s="61"/>
    </row>
    <row r="23" spans="2:16">
      <c r="C23" s="1" t="s">
        <v>239</v>
      </c>
      <c r="G23" s="61"/>
      <c r="H23" s="61"/>
      <c r="I23" s="61"/>
      <c r="J23" s="61"/>
      <c r="K23" s="61"/>
      <c r="L23" s="61"/>
    </row>
    <row r="24" spans="2:16" ht="15" thickBot="1">
      <c r="B24">
        <v>1</v>
      </c>
      <c r="C24" s="4" t="s">
        <v>23</v>
      </c>
      <c r="G24" s="84">
        <v>1365</v>
      </c>
      <c r="H24" s="86">
        <v>1735.5</v>
      </c>
      <c r="I24" s="313">
        <f t="shared" ref="I24:I70" si="0">H24*1.053</f>
        <v>1827.4814999999999</v>
      </c>
      <c r="J24" s="61"/>
      <c r="K24" s="61">
        <v>49</v>
      </c>
      <c r="L24" s="118" t="s">
        <v>59</v>
      </c>
      <c r="M24" s="84">
        <v>1650</v>
      </c>
      <c r="N24" s="86">
        <v>1950</v>
      </c>
      <c r="O24" s="313">
        <f t="shared" ref="O24:O80" si="1">N24*1.053</f>
        <v>2053.35</v>
      </c>
    </row>
    <row r="25" spans="2:16" ht="15" thickBot="1">
      <c r="B25">
        <v>2</v>
      </c>
      <c r="C25" s="4" t="s">
        <v>26</v>
      </c>
      <c r="G25" s="84">
        <v>1045</v>
      </c>
      <c r="H25" s="86">
        <v>1365</v>
      </c>
      <c r="I25" s="313">
        <f t="shared" si="0"/>
        <v>1437.3449999999998</v>
      </c>
      <c r="J25" s="61"/>
      <c r="K25" s="61">
        <v>50</v>
      </c>
      <c r="L25" s="118" t="s">
        <v>61</v>
      </c>
      <c r="M25" s="84">
        <v>2500</v>
      </c>
      <c r="N25" s="128">
        <v>3035.5</v>
      </c>
      <c r="O25" s="313">
        <f t="shared" si="1"/>
        <v>3196.3815</v>
      </c>
    </row>
    <row r="26" spans="2:16" ht="15" thickBot="1">
      <c r="B26">
        <v>3</v>
      </c>
      <c r="C26" s="4" t="s">
        <v>29</v>
      </c>
      <c r="G26" s="84">
        <v>690</v>
      </c>
      <c r="H26" s="86">
        <v>962</v>
      </c>
      <c r="I26" s="313">
        <f t="shared" si="0"/>
        <v>1012.986</v>
      </c>
      <c r="J26" s="61"/>
      <c r="K26" s="61">
        <v>51</v>
      </c>
      <c r="L26" s="118" t="s">
        <v>63</v>
      </c>
      <c r="M26" s="84">
        <v>3100</v>
      </c>
      <c r="N26" s="128">
        <v>3438.5</v>
      </c>
      <c r="O26" s="313">
        <f t="shared" si="1"/>
        <v>3620.7404999999999</v>
      </c>
    </row>
    <row r="27" spans="2:16" ht="15" thickBot="1">
      <c r="B27">
        <v>4</v>
      </c>
      <c r="C27" s="4" t="s">
        <v>34</v>
      </c>
      <c r="G27" s="84">
        <v>735</v>
      </c>
      <c r="H27" s="86">
        <v>819</v>
      </c>
      <c r="I27" s="313">
        <f t="shared" si="0"/>
        <v>862.40699999999993</v>
      </c>
      <c r="J27" s="61"/>
      <c r="K27" s="61">
        <v>52</v>
      </c>
      <c r="L27" s="118" t="s">
        <v>67</v>
      </c>
      <c r="M27" s="84" t="s">
        <v>32</v>
      </c>
      <c r="N27" s="100" t="s">
        <v>32</v>
      </c>
      <c r="O27" s="313"/>
    </row>
    <row r="28" spans="2:16" ht="15" thickBot="1">
      <c r="B28">
        <v>5</v>
      </c>
      <c r="C28" s="4" t="s">
        <v>37</v>
      </c>
      <c r="G28" s="84">
        <v>1170</v>
      </c>
      <c r="H28" s="86">
        <v>1287</v>
      </c>
      <c r="I28" s="313">
        <f t="shared" si="0"/>
        <v>1355.211</v>
      </c>
      <c r="J28" s="61"/>
      <c r="K28" s="61">
        <v>53</v>
      </c>
      <c r="L28" s="118" t="s">
        <v>71</v>
      </c>
      <c r="M28" s="84">
        <v>490</v>
      </c>
      <c r="N28" s="128">
        <v>299</v>
      </c>
      <c r="O28" s="313">
        <f t="shared" si="1"/>
        <v>314.84699999999998</v>
      </c>
      <c r="P28" s="1" t="s">
        <v>719</v>
      </c>
    </row>
    <row r="29" spans="2:16" ht="15" thickBot="1">
      <c r="B29">
        <v>6</v>
      </c>
      <c r="C29" s="4" t="s">
        <v>39</v>
      </c>
      <c r="G29" s="84">
        <v>1830</v>
      </c>
      <c r="H29" s="86">
        <v>2008.5</v>
      </c>
      <c r="I29" s="313">
        <f t="shared" si="0"/>
        <v>2114.9504999999999</v>
      </c>
      <c r="J29" s="61"/>
      <c r="K29" s="61">
        <v>54</v>
      </c>
      <c r="L29" s="118" t="s">
        <v>75</v>
      </c>
      <c r="M29" s="84" t="s">
        <v>208</v>
      </c>
      <c r="N29" s="128" t="s">
        <v>208</v>
      </c>
      <c r="O29" s="313"/>
    </row>
    <row r="30" spans="2:16" ht="15" thickBot="1">
      <c r="B30">
        <v>7</v>
      </c>
      <c r="C30" s="4" t="s">
        <v>41</v>
      </c>
      <c r="G30" s="84">
        <v>1330</v>
      </c>
      <c r="H30" s="86">
        <v>1592.5</v>
      </c>
      <c r="I30" s="313">
        <f t="shared" si="0"/>
        <v>1676.9024999999999</v>
      </c>
      <c r="J30" s="61"/>
      <c r="K30" s="61">
        <v>55</v>
      </c>
      <c r="L30" s="118" t="s">
        <v>373</v>
      </c>
      <c r="M30" s="84" t="s">
        <v>208</v>
      </c>
      <c r="N30" s="128" t="s">
        <v>208</v>
      </c>
      <c r="O30" s="313"/>
    </row>
    <row r="31" spans="2:16" ht="15" thickBot="1">
      <c r="B31">
        <v>8</v>
      </c>
      <c r="C31" s="4" t="s">
        <v>43</v>
      </c>
      <c r="G31" s="84">
        <v>1545</v>
      </c>
      <c r="H31" s="86">
        <v>2054</v>
      </c>
      <c r="I31" s="313">
        <f t="shared" si="0"/>
        <v>2162.8620000000001</v>
      </c>
      <c r="J31" s="61" t="s">
        <v>348</v>
      </c>
      <c r="K31" s="61">
        <v>56</v>
      </c>
      <c r="L31" s="118" t="s">
        <v>80</v>
      </c>
      <c r="M31" s="84" t="s">
        <v>32</v>
      </c>
      <c r="N31" s="128" t="s">
        <v>32</v>
      </c>
      <c r="O31" s="313"/>
    </row>
    <row r="32" spans="2:16" ht="15" thickBot="1">
      <c r="B32">
        <v>9</v>
      </c>
      <c r="C32" s="4" t="s">
        <v>45</v>
      </c>
      <c r="G32" s="84">
        <v>-120</v>
      </c>
      <c r="H32" s="86">
        <v>-120</v>
      </c>
      <c r="I32" s="313">
        <f t="shared" si="0"/>
        <v>-126.35999999999999</v>
      </c>
      <c r="J32" s="61"/>
      <c r="K32" s="61">
        <v>57</v>
      </c>
      <c r="L32" s="118" t="s">
        <v>82</v>
      </c>
      <c r="M32" s="84">
        <v>450</v>
      </c>
      <c r="N32" s="128">
        <v>130</v>
      </c>
      <c r="O32" s="313">
        <f t="shared" si="1"/>
        <v>136.88999999999999</v>
      </c>
    </row>
    <row r="33" spans="2:15" ht="15" thickBot="1">
      <c r="B33">
        <v>10</v>
      </c>
      <c r="C33" s="4" t="s">
        <v>60</v>
      </c>
      <c r="G33" s="84">
        <v>60</v>
      </c>
      <c r="H33" s="86">
        <v>97.5</v>
      </c>
      <c r="I33" s="313">
        <f t="shared" si="0"/>
        <v>102.66749999999999</v>
      </c>
      <c r="J33" s="140"/>
      <c r="K33" s="61">
        <v>58</v>
      </c>
      <c r="L33" s="118" t="s">
        <v>84</v>
      </c>
      <c r="M33" s="84" t="s">
        <v>208</v>
      </c>
      <c r="N33" s="128" t="s">
        <v>208</v>
      </c>
      <c r="O33" s="313"/>
    </row>
    <row r="34" spans="2:15" ht="15" thickBot="1">
      <c r="B34">
        <v>11</v>
      </c>
      <c r="C34" t="s">
        <v>62</v>
      </c>
      <c r="G34" s="84">
        <v>60</v>
      </c>
      <c r="H34" s="86">
        <v>97.5</v>
      </c>
      <c r="I34" s="313">
        <f t="shared" si="0"/>
        <v>102.66749999999999</v>
      </c>
      <c r="J34" s="140"/>
      <c r="K34" s="61">
        <v>59</v>
      </c>
      <c r="L34" s="118" t="s">
        <v>86</v>
      </c>
      <c r="M34" s="84" t="s">
        <v>209</v>
      </c>
      <c r="N34" s="128" t="s">
        <v>32</v>
      </c>
      <c r="O34" s="313"/>
    </row>
    <row r="35" spans="2:15" ht="15" thickBot="1">
      <c r="B35">
        <v>12</v>
      </c>
      <c r="C35" t="s">
        <v>64</v>
      </c>
      <c r="G35" s="84">
        <v>90</v>
      </c>
      <c r="H35" s="86">
        <v>175.5</v>
      </c>
      <c r="I35" s="313">
        <f t="shared" si="0"/>
        <v>184.80149999999998</v>
      </c>
      <c r="J35" s="140"/>
      <c r="K35" s="61">
        <v>60</v>
      </c>
      <c r="L35" s="118" t="s">
        <v>88</v>
      </c>
      <c r="M35" s="84" t="s">
        <v>209</v>
      </c>
      <c r="N35" s="128" t="s">
        <v>32</v>
      </c>
      <c r="O35" s="313"/>
    </row>
    <row r="36" spans="2:15" ht="15" thickBot="1">
      <c r="B36">
        <v>13</v>
      </c>
      <c r="C36" s="31" t="s">
        <v>66</v>
      </c>
      <c r="G36" s="84">
        <v>70</v>
      </c>
      <c r="H36" s="86">
        <v>97.5</v>
      </c>
      <c r="I36" s="313">
        <f t="shared" si="0"/>
        <v>102.66749999999999</v>
      </c>
      <c r="J36" s="140"/>
      <c r="K36" s="61">
        <v>61</v>
      </c>
      <c r="L36" s="61" t="s">
        <v>374</v>
      </c>
      <c r="M36" s="84">
        <v>450</v>
      </c>
      <c r="N36" s="128">
        <v>520</v>
      </c>
      <c r="O36" s="313">
        <f t="shared" si="1"/>
        <v>547.55999999999995</v>
      </c>
    </row>
    <row r="37" spans="2:15" ht="15" thickBot="1">
      <c r="B37">
        <v>14</v>
      </c>
      <c r="C37" s="31" t="s">
        <v>375</v>
      </c>
      <c r="G37" s="84" t="s">
        <v>208</v>
      </c>
      <c r="H37" s="142">
        <v>2750</v>
      </c>
      <c r="I37" s="313">
        <f t="shared" si="0"/>
        <v>2895.75</v>
      </c>
      <c r="J37" s="140"/>
      <c r="K37" s="61">
        <v>62</v>
      </c>
      <c r="L37" s="61" t="s">
        <v>90</v>
      </c>
      <c r="M37" s="84" t="s">
        <v>32</v>
      </c>
      <c r="N37" s="146" t="s">
        <v>32</v>
      </c>
      <c r="O37" s="313"/>
    </row>
    <row r="38" spans="2:15" ht="15" thickBot="1">
      <c r="B38">
        <v>15</v>
      </c>
      <c r="C38" s="31" t="s">
        <v>68</v>
      </c>
      <c r="G38" s="84">
        <v>240</v>
      </c>
      <c r="H38" s="128">
        <v>188.5</v>
      </c>
      <c r="I38" s="313">
        <f t="shared" si="0"/>
        <v>198.4905</v>
      </c>
      <c r="J38" s="61"/>
      <c r="K38" s="61">
        <v>63</v>
      </c>
      <c r="L38" s="61" t="s">
        <v>94</v>
      </c>
      <c r="M38" s="84">
        <v>375</v>
      </c>
      <c r="N38" s="128">
        <v>487.5</v>
      </c>
      <c r="O38" s="313">
        <f t="shared" si="1"/>
        <v>513.33749999999998</v>
      </c>
    </row>
    <row r="39" spans="2:15" ht="15" thickBot="1">
      <c r="B39">
        <v>16</v>
      </c>
      <c r="C39" s="31" t="s">
        <v>70</v>
      </c>
      <c r="G39" s="84">
        <v>80</v>
      </c>
      <c r="H39" s="128">
        <v>136.5</v>
      </c>
      <c r="I39" s="313">
        <f t="shared" si="0"/>
        <v>143.7345</v>
      </c>
      <c r="J39" s="61"/>
      <c r="K39" s="61">
        <v>64</v>
      </c>
      <c r="L39" s="61" t="s">
        <v>96</v>
      </c>
      <c r="M39" s="84" t="s">
        <v>32</v>
      </c>
      <c r="N39" s="143" t="s">
        <v>32</v>
      </c>
      <c r="O39" s="313"/>
    </row>
    <row r="40" spans="2:15" ht="15" thickBot="1">
      <c r="B40">
        <v>17</v>
      </c>
      <c r="C40" s="31" t="s">
        <v>72</v>
      </c>
      <c r="G40" s="84">
        <v>50</v>
      </c>
      <c r="H40" s="128">
        <v>65</v>
      </c>
      <c r="I40" s="313">
        <f t="shared" si="0"/>
        <v>68.444999999999993</v>
      </c>
      <c r="J40" s="61"/>
      <c r="K40" s="61">
        <v>65</v>
      </c>
      <c r="L40" s="118" t="s">
        <v>100</v>
      </c>
      <c r="M40" s="84">
        <v>4681</v>
      </c>
      <c r="N40" s="128">
        <v>6305</v>
      </c>
      <c r="O40" s="313">
        <f t="shared" si="1"/>
        <v>6639.165</v>
      </c>
    </row>
    <row r="41" spans="2:15" ht="15" thickBot="1">
      <c r="B41">
        <v>18</v>
      </c>
      <c r="C41" s="31" t="s">
        <v>74</v>
      </c>
      <c r="G41" s="84">
        <v>100</v>
      </c>
      <c r="H41" s="128">
        <v>130</v>
      </c>
      <c r="I41" s="313">
        <f t="shared" si="0"/>
        <v>136.88999999999999</v>
      </c>
      <c r="J41" s="61"/>
      <c r="K41" s="61">
        <v>66</v>
      </c>
      <c r="L41" s="118" t="s">
        <v>102</v>
      </c>
      <c r="M41" s="84">
        <v>7590</v>
      </c>
      <c r="N41" s="128">
        <v>10140</v>
      </c>
      <c r="O41" s="313">
        <f t="shared" si="1"/>
        <v>10677.42</v>
      </c>
    </row>
    <row r="42" spans="2:15" ht="15" thickBot="1">
      <c r="B42">
        <v>19</v>
      </c>
      <c r="C42" s="31" t="s">
        <v>76</v>
      </c>
      <c r="D42" s="31"/>
      <c r="E42" s="31"/>
      <c r="F42" s="31"/>
      <c r="G42" s="84">
        <v>1600</v>
      </c>
      <c r="H42" s="100" t="s">
        <v>209</v>
      </c>
      <c r="I42" s="313"/>
      <c r="J42" s="61"/>
      <c r="K42" s="61">
        <v>67</v>
      </c>
      <c r="L42" s="118" t="s">
        <v>104</v>
      </c>
      <c r="M42" s="84">
        <v>9158</v>
      </c>
      <c r="N42" s="128">
        <v>13000</v>
      </c>
      <c r="O42" s="313">
        <f t="shared" si="1"/>
        <v>13689</v>
      </c>
    </row>
    <row r="43" spans="2:15" ht="15" thickBot="1">
      <c r="B43">
        <v>20</v>
      </c>
      <c r="C43" s="4" t="s">
        <v>83</v>
      </c>
      <c r="D43" s="31"/>
      <c r="E43" s="31"/>
      <c r="F43" s="31"/>
      <c r="G43" s="84">
        <v>175</v>
      </c>
      <c r="H43" s="128">
        <v>325</v>
      </c>
      <c r="I43" s="313">
        <f t="shared" si="0"/>
        <v>342.22499999999997</v>
      </c>
      <c r="J43" s="61" t="s">
        <v>216</v>
      </c>
      <c r="K43" s="61">
        <v>68</v>
      </c>
      <c r="L43" s="61" t="s">
        <v>106</v>
      </c>
      <c r="M43" s="84">
        <v>7728</v>
      </c>
      <c r="N43" s="128">
        <v>9295</v>
      </c>
      <c r="O43" s="313">
        <f t="shared" si="1"/>
        <v>9787.6350000000002</v>
      </c>
    </row>
    <row r="44" spans="2:15" ht="15" thickBot="1">
      <c r="B44">
        <v>21</v>
      </c>
      <c r="C44" s="4" t="s">
        <v>376</v>
      </c>
      <c r="D44" s="31"/>
      <c r="E44" s="31"/>
      <c r="F44" s="31"/>
      <c r="G44" s="84">
        <v>6160</v>
      </c>
      <c r="H44" s="142" t="s">
        <v>208</v>
      </c>
      <c r="I44" s="313"/>
      <c r="J44" s="140"/>
      <c r="K44" s="61">
        <v>69</v>
      </c>
      <c r="L44" s="118" t="s">
        <v>108</v>
      </c>
      <c r="M44" s="84" t="s">
        <v>208</v>
      </c>
      <c r="N44" s="128" t="s">
        <v>208</v>
      </c>
      <c r="O44" s="313"/>
    </row>
    <row r="45" spans="2:15" ht="15" thickBot="1">
      <c r="B45">
        <v>22</v>
      </c>
      <c r="C45" s="4" t="s">
        <v>85</v>
      </c>
      <c r="D45" s="31"/>
      <c r="E45" s="31"/>
      <c r="F45" s="31"/>
      <c r="G45" s="84">
        <v>975</v>
      </c>
      <c r="H45" s="128">
        <v>845</v>
      </c>
      <c r="I45" s="313">
        <f t="shared" si="0"/>
        <v>889.78499999999997</v>
      </c>
      <c r="J45" s="140"/>
      <c r="K45" s="61">
        <v>70</v>
      </c>
      <c r="L45" s="118" t="s">
        <v>110</v>
      </c>
      <c r="M45" s="84" t="s">
        <v>209</v>
      </c>
      <c r="N45" s="128" t="s">
        <v>209</v>
      </c>
      <c r="O45" s="313"/>
    </row>
    <row r="46" spans="2:15" ht="15" thickBot="1">
      <c r="B46">
        <v>23</v>
      </c>
      <c r="C46" s="4" t="s">
        <v>87</v>
      </c>
      <c r="D46" s="31"/>
      <c r="E46" s="31"/>
      <c r="F46" s="31"/>
      <c r="G46" s="84">
        <v>975</v>
      </c>
      <c r="H46" s="128">
        <v>858</v>
      </c>
      <c r="I46" s="313">
        <f t="shared" si="0"/>
        <v>903.47399999999993</v>
      </c>
      <c r="J46" s="140"/>
      <c r="K46" s="61">
        <v>71</v>
      </c>
      <c r="L46" s="118" t="s">
        <v>112</v>
      </c>
      <c r="M46" s="84" t="s">
        <v>209</v>
      </c>
      <c r="N46" s="128" t="s">
        <v>209</v>
      </c>
      <c r="O46" s="313"/>
    </row>
    <row r="47" spans="2:15" ht="15" thickBot="1">
      <c r="B47">
        <v>24</v>
      </c>
      <c r="C47" s="4" t="s">
        <v>89</v>
      </c>
      <c r="D47" s="31"/>
      <c r="E47" s="31"/>
      <c r="F47" s="31"/>
      <c r="G47" s="84">
        <v>1295</v>
      </c>
      <c r="H47" s="128">
        <v>1163.5</v>
      </c>
      <c r="I47" s="313">
        <f t="shared" si="0"/>
        <v>1225.1654999999998</v>
      </c>
      <c r="J47" s="140"/>
      <c r="K47" s="61">
        <v>72</v>
      </c>
      <c r="L47" s="61" t="s">
        <v>114</v>
      </c>
      <c r="M47" s="84">
        <v>4068</v>
      </c>
      <c r="N47" s="128">
        <v>5288.4000000000005</v>
      </c>
      <c r="O47" s="313">
        <f t="shared" si="1"/>
        <v>5568.6851999999999</v>
      </c>
    </row>
    <row r="48" spans="2:15" ht="15" thickBot="1">
      <c r="B48">
        <v>25</v>
      </c>
      <c r="C48" t="s">
        <v>91</v>
      </c>
      <c r="D48" s="31"/>
      <c r="E48" s="31"/>
      <c r="F48" s="31"/>
      <c r="G48" s="84">
        <v>-100</v>
      </c>
      <c r="H48" s="128">
        <v>-100</v>
      </c>
      <c r="I48" s="313">
        <f t="shared" si="0"/>
        <v>-105.3</v>
      </c>
      <c r="J48" s="140"/>
      <c r="K48" s="61">
        <v>73</v>
      </c>
      <c r="L48" s="61" t="s">
        <v>116</v>
      </c>
      <c r="M48" s="84">
        <v>6186</v>
      </c>
      <c r="N48" s="128">
        <v>8041.8</v>
      </c>
      <c r="O48" s="313">
        <f t="shared" si="1"/>
        <v>8468.0154000000002</v>
      </c>
    </row>
    <row r="49" spans="2:16" ht="15" thickBot="1">
      <c r="B49">
        <v>26</v>
      </c>
      <c r="C49" t="s">
        <v>93</v>
      </c>
      <c r="G49" s="84">
        <v>-100</v>
      </c>
      <c r="H49" s="128">
        <v>-100</v>
      </c>
      <c r="I49" s="313">
        <f t="shared" si="0"/>
        <v>-105.3</v>
      </c>
      <c r="J49" s="140"/>
      <c r="K49" s="61">
        <v>74</v>
      </c>
      <c r="L49" s="61" t="s">
        <v>118</v>
      </c>
      <c r="M49" s="84">
        <v>8550</v>
      </c>
      <c r="N49" s="128">
        <v>11115</v>
      </c>
      <c r="O49" s="313">
        <f t="shared" si="1"/>
        <v>11704.094999999999</v>
      </c>
    </row>
    <row r="50" spans="2:16" ht="15" thickBot="1">
      <c r="B50">
        <v>27</v>
      </c>
      <c r="C50" t="s">
        <v>95</v>
      </c>
      <c r="G50" s="84">
        <v>1953</v>
      </c>
      <c r="H50" s="128">
        <v>2600</v>
      </c>
      <c r="I50" s="313">
        <f t="shared" si="0"/>
        <v>2737.7999999999997</v>
      </c>
      <c r="J50" s="140"/>
      <c r="K50" s="61">
        <v>75</v>
      </c>
      <c r="L50" s="61" t="s">
        <v>120</v>
      </c>
      <c r="M50" s="84">
        <v>500</v>
      </c>
      <c r="N50" s="128">
        <v>650</v>
      </c>
      <c r="O50" s="313">
        <f t="shared" si="1"/>
        <v>684.44999999999993</v>
      </c>
      <c r="P50" t="s">
        <v>394</v>
      </c>
    </row>
    <row r="51" spans="2:16" ht="15" thickBot="1">
      <c r="B51">
        <v>28</v>
      </c>
      <c r="C51" t="s">
        <v>97</v>
      </c>
      <c r="G51" s="84">
        <v>2915</v>
      </c>
      <c r="H51" s="128">
        <v>3445</v>
      </c>
      <c r="I51" s="313">
        <f t="shared" si="0"/>
        <v>3627.5849999999996</v>
      </c>
      <c r="J51" s="140"/>
      <c r="K51" s="61">
        <v>76</v>
      </c>
      <c r="L51" s="61" t="s">
        <v>122</v>
      </c>
      <c r="M51" s="84">
        <v>3300</v>
      </c>
      <c r="N51" s="128">
        <v>4290</v>
      </c>
      <c r="O51" s="313">
        <f t="shared" si="1"/>
        <v>4517.37</v>
      </c>
    </row>
    <row r="52" spans="2:16" ht="15" thickBot="1">
      <c r="B52">
        <v>29</v>
      </c>
      <c r="C52" t="s">
        <v>99</v>
      </c>
      <c r="G52" s="84" t="s">
        <v>209</v>
      </c>
      <c r="H52" s="128" t="s">
        <v>32</v>
      </c>
      <c r="I52" s="313"/>
      <c r="J52" s="140"/>
      <c r="K52" s="61">
        <v>77</v>
      </c>
      <c r="L52" s="61" t="s">
        <v>124</v>
      </c>
      <c r="M52" s="84">
        <v>4020</v>
      </c>
      <c r="N52" s="128">
        <v>5226</v>
      </c>
      <c r="O52" s="313">
        <f t="shared" si="1"/>
        <v>5502.9780000000001</v>
      </c>
    </row>
    <row r="53" spans="2:16" ht="15" thickBot="1">
      <c r="B53">
        <v>30</v>
      </c>
      <c r="C53" t="s">
        <v>101</v>
      </c>
      <c r="G53" s="84" t="s">
        <v>209</v>
      </c>
      <c r="H53" s="128" t="s">
        <v>32</v>
      </c>
      <c r="I53" s="313"/>
      <c r="J53" s="140"/>
      <c r="K53" s="61">
        <v>78</v>
      </c>
      <c r="L53" s="61" t="s">
        <v>126</v>
      </c>
      <c r="M53" s="84">
        <v>5220</v>
      </c>
      <c r="N53" s="128">
        <v>6786</v>
      </c>
      <c r="O53" s="313">
        <f t="shared" si="1"/>
        <v>7145.6579999999994</v>
      </c>
    </row>
    <row r="54" spans="2:16" ht="15" thickBot="1">
      <c r="B54">
        <v>31</v>
      </c>
      <c r="C54" t="s">
        <v>103</v>
      </c>
      <c r="G54" s="84">
        <v>30</v>
      </c>
      <c r="H54" s="128">
        <v>39</v>
      </c>
      <c r="I54" s="313">
        <f t="shared" si="0"/>
        <v>41.067</v>
      </c>
      <c r="J54" s="140"/>
      <c r="K54" s="61">
        <v>79</v>
      </c>
      <c r="L54" s="61" t="s">
        <v>128</v>
      </c>
      <c r="M54" s="84">
        <v>5766</v>
      </c>
      <c r="N54" s="128">
        <v>7495.8</v>
      </c>
      <c r="O54" s="313">
        <f t="shared" si="1"/>
        <v>7893.0774000000001</v>
      </c>
    </row>
    <row r="55" spans="2:16" ht="15" thickBot="1">
      <c r="B55">
        <v>32</v>
      </c>
      <c r="C55" t="s">
        <v>105</v>
      </c>
      <c r="G55" s="84">
        <v>30</v>
      </c>
      <c r="H55" s="128">
        <v>39</v>
      </c>
      <c r="I55" s="313">
        <f t="shared" si="0"/>
        <v>41.067</v>
      </c>
      <c r="J55" s="140"/>
      <c r="K55" s="61">
        <v>80</v>
      </c>
      <c r="L55" s="118" t="s">
        <v>130</v>
      </c>
      <c r="M55" s="84" t="s">
        <v>32</v>
      </c>
      <c r="N55" s="128">
        <v>4647.5</v>
      </c>
      <c r="O55" s="313">
        <f t="shared" si="1"/>
        <v>4893.8175000000001</v>
      </c>
    </row>
    <row r="56" spans="2:16" ht="15" thickBot="1">
      <c r="B56">
        <v>33</v>
      </c>
      <c r="C56" t="s">
        <v>107</v>
      </c>
      <c r="G56" s="84">
        <v>-10</v>
      </c>
      <c r="H56" s="128">
        <v>-10</v>
      </c>
      <c r="I56" s="313">
        <f t="shared" si="0"/>
        <v>-10.53</v>
      </c>
      <c r="J56" s="140"/>
      <c r="K56" s="144">
        <v>81</v>
      </c>
      <c r="L56" s="118" t="s">
        <v>132</v>
      </c>
      <c r="M56" s="84">
        <v>4835</v>
      </c>
      <c r="N56" s="128">
        <v>2340</v>
      </c>
      <c r="O56" s="313">
        <f t="shared" si="1"/>
        <v>2464.02</v>
      </c>
    </row>
    <row r="57" spans="2:16" ht="15" thickBot="1">
      <c r="B57">
        <v>34</v>
      </c>
      <c r="C57" s="4" t="s">
        <v>115</v>
      </c>
      <c r="G57" s="84" t="s">
        <v>209</v>
      </c>
      <c r="H57" s="100" t="s">
        <v>32</v>
      </c>
      <c r="I57" s="313"/>
      <c r="J57" s="140"/>
      <c r="K57" s="144">
        <v>82</v>
      </c>
      <c r="L57" s="118" t="s">
        <v>134</v>
      </c>
      <c r="M57" s="84">
        <v>3080</v>
      </c>
      <c r="N57" s="86">
        <v>5453.5</v>
      </c>
      <c r="O57" s="313">
        <f t="shared" si="1"/>
        <v>5742.5355</v>
      </c>
    </row>
    <row r="58" spans="2:16" ht="15" thickBot="1">
      <c r="B58">
        <v>35</v>
      </c>
      <c r="C58" s="4" t="s">
        <v>117</v>
      </c>
      <c r="G58" s="84">
        <v>0</v>
      </c>
      <c r="H58" s="128">
        <v>0</v>
      </c>
      <c r="I58" s="313">
        <f t="shared" si="0"/>
        <v>0</v>
      </c>
      <c r="J58" s="140"/>
      <c r="K58" s="144">
        <v>83</v>
      </c>
      <c r="L58" s="118" t="s">
        <v>136</v>
      </c>
      <c r="M58" s="84">
        <v>795</v>
      </c>
      <c r="N58" s="128">
        <v>1280.5</v>
      </c>
      <c r="O58" s="313">
        <f t="shared" si="1"/>
        <v>1348.3664999999999</v>
      </c>
    </row>
    <row r="59" spans="2:16" ht="15" thickBot="1">
      <c r="B59">
        <v>36</v>
      </c>
      <c r="C59" t="s">
        <v>119</v>
      </c>
      <c r="G59" s="84">
        <v>820</v>
      </c>
      <c r="H59" s="142">
        <v>1170</v>
      </c>
      <c r="I59" s="313">
        <f t="shared" si="0"/>
        <v>1232.01</v>
      </c>
      <c r="J59" s="140"/>
      <c r="K59" s="144">
        <v>84</v>
      </c>
      <c r="L59" s="61" t="s">
        <v>138</v>
      </c>
      <c r="M59" s="84">
        <v>5514</v>
      </c>
      <c r="N59" s="128">
        <v>6103.5</v>
      </c>
      <c r="O59" s="313">
        <f t="shared" si="1"/>
        <v>6426.9854999999998</v>
      </c>
    </row>
    <row r="60" spans="2:16" ht="15" thickBot="1">
      <c r="B60">
        <v>37</v>
      </c>
      <c r="C60" t="s">
        <v>121</v>
      </c>
      <c r="G60" s="84">
        <v>40</v>
      </c>
      <c r="H60" s="128">
        <v>50</v>
      </c>
      <c r="I60" s="313">
        <f t="shared" si="0"/>
        <v>52.65</v>
      </c>
      <c r="J60" s="140"/>
      <c r="K60" s="144">
        <v>85</v>
      </c>
      <c r="L60" s="61" t="s">
        <v>377</v>
      </c>
      <c r="M60" s="84">
        <v>1777</v>
      </c>
      <c r="N60" s="128">
        <v>3250</v>
      </c>
      <c r="O60" s="313">
        <f t="shared" si="1"/>
        <v>3422.25</v>
      </c>
    </row>
    <row r="61" spans="2:16" ht="15" thickBot="1">
      <c r="B61">
        <v>38</v>
      </c>
      <c r="C61" t="s">
        <v>123</v>
      </c>
      <c r="G61" s="84">
        <v>250</v>
      </c>
      <c r="H61" s="128">
        <v>260</v>
      </c>
      <c r="I61" s="313">
        <f t="shared" si="0"/>
        <v>273.77999999999997</v>
      </c>
      <c r="J61" s="140"/>
      <c r="K61" s="144">
        <v>86</v>
      </c>
      <c r="L61" s="61" t="s">
        <v>378</v>
      </c>
      <c r="M61" s="84">
        <v>1777</v>
      </c>
      <c r="N61" s="128">
        <v>3250</v>
      </c>
      <c r="O61" s="313">
        <f t="shared" si="1"/>
        <v>3422.25</v>
      </c>
    </row>
    <row r="62" spans="2:16" ht="15" thickBot="1">
      <c r="B62">
        <v>39</v>
      </c>
      <c r="C62" t="s">
        <v>125</v>
      </c>
      <c r="G62" s="84">
        <v>695</v>
      </c>
      <c r="H62" s="128">
        <v>663</v>
      </c>
      <c r="I62" s="313">
        <f t="shared" si="0"/>
        <v>698.13900000000001</v>
      </c>
      <c r="J62" s="140"/>
      <c r="K62" s="144">
        <v>87</v>
      </c>
      <c r="L62" s="61" t="s">
        <v>142</v>
      </c>
      <c r="M62" s="84" t="s">
        <v>209</v>
      </c>
      <c r="N62" s="128" t="s">
        <v>209</v>
      </c>
      <c r="O62" s="313"/>
    </row>
    <row r="63" spans="2:16" ht="15" thickBot="1">
      <c r="B63">
        <v>40</v>
      </c>
      <c r="C63" t="s">
        <v>127</v>
      </c>
      <c r="G63" s="84">
        <v>165</v>
      </c>
      <c r="H63" s="128">
        <v>260</v>
      </c>
      <c r="I63" s="313">
        <f t="shared" si="0"/>
        <v>273.77999999999997</v>
      </c>
      <c r="J63" s="140"/>
      <c r="K63" s="144">
        <v>88</v>
      </c>
      <c r="L63" s="118" t="s">
        <v>144</v>
      </c>
      <c r="M63" s="84">
        <v>4015</v>
      </c>
      <c r="N63" s="128">
        <v>5063.5</v>
      </c>
      <c r="O63" s="313">
        <f t="shared" si="1"/>
        <v>5331.8654999999999</v>
      </c>
    </row>
    <row r="64" spans="2:16" ht="15" thickBot="1">
      <c r="B64">
        <v>41</v>
      </c>
      <c r="C64" s="4" t="s">
        <v>379</v>
      </c>
      <c r="G64" s="84">
        <v>550</v>
      </c>
      <c r="H64" s="143">
        <v>650</v>
      </c>
      <c r="I64" s="313">
        <f t="shared" si="0"/>
        <v>684.44999999999993</v>
      </c>
      <c r="J64" s="140"/>
      <c r="K64" s="144">
        <v>89</v>
      </c>
      <c r="L64" s="129" t="s">
        <v>146</v>
      </c>
      <c r="M64" s="84">
        <v>7948</v>
      </c>
      <c r="N64" s="141">
        <v>8053.5</v>
      </c>
      <c r="O64" s="313">
        <f t="shared" si="1"/>
        <v>8480.3354999999992</v>
      </c>
    </row>
    <row r="65" spans="1:16" ht="15" thickBot="1">
      <c r="B65">
        <v>42</v>
      </c>
      <c r="C65" t="s">
        <v>380</v>
      </c>
      <c r="G65" s="84" t="s">
        <v>208</v>
      </c>
      <c r="H65" s="143" t="s">
        <v>208</v>
      </c>
      <c r="I65" s="313"/>
      <c r="J65" s="140"/>
      <c r="K65" s="144">
        <v>90</v>
      </c>
      <c r="L65" s="118" t="s">
        <v>338</v>
      </c>
      <c r="M65" s="84" t="s">
        <v>209</v>
      </c>
      <c r="N65" s="128">
        <v>2275</v>
      </c>
      <c r="O65" s="313">
        <f t="shared" si="1"/>
        <v>2395.5749999999998</v>
      </c>
    </row>
    <row r="66" spans="1:16" ht="15" thickBot="1">
      <c r="B66">
        <v>43</v>
      </c>
      <c r="C66" t="s">
        <v>381</v>
      </c>
      <c r="G66" s="84">
        <v>880</v>
      </c>
      <c r="H66" s="143" t="s">
        <v>32</v>
      </c>
      <c r="I66" s="313"/>
      <c r="J66" s="140"/>
      <c r="K66" s="144">
        <v>91</v>
      </c>
      <c r="L66" s="61" t="s">
        <v>382</v>
      </c>
      <c r="M66" s="84" t="s">
        <v>209</v>
      </c>
      <c r="N66" s="128">
        <v>2275</v>
      </c>
      <c r="O66" s="313">
        <f t="shared" si="1"/>
        <v>2395.5749999999998</v>
      </c>
    </row>
    <row r="67" spans="1:16" ht="15" thickBot="1">
      <c r="B67">
        <v>44</v>
      </c>
      <c r="C67" s="4" t="s">
        <v>383</v>
      </c>
      <c r="G67" s="84">
        <v>6994</v>
      </c>
      <c r="H67" s="143" t="s">
        <v>32</v>
      </c>
      <c r="I67" s="313"/>
      <c r="J67" s="140"/>
      <c r="K67" s="144">
        <v>92</v>
      </c>
      <c r="L67" s="61" t="s">
        <v>150</v>
      </c>
      <c r="M67" s="84">
        <v>605</v>
      </c>
      <c r="N67" s="128">
        <v>1300</v>
      </c>
      <c r="O67" s="313">
        <f t="shared" si="1"/>
        <v>1368.8999999999999</v>
      </c>
    </row>
    <row r="68" spans="1:16" ht="15" thickBot="1">
      <c r="B68">
        <v>45</v>
      </c>
      <c r="C68" s="4" t="s">
        <v>384</v>
      </c>
      <c r="G68" s="84">
        <v>6366</v>
      </c>
      <c r="H68" s="143">
        <v>-5770</v>
      </c>
      <c r="I68" s="313">
        <f t="shared" si="0"/>
        <v>-6075.8099999999995</v>
      </c>
      <c r="J68" s="140" t="s">
        <v>725</v>
      </c>
      <c r="K68" s="144">
        <v>93</v>
      </c>
      <c r="L68" s="61" t="s">
        <v>152</v>
      </c>
      <c r="M68" s="84">
        <v>605</v>
      </c>
      <c r="N68" s="128">
        <v>1300</v>
      </c>
      <c r="O68" s="313">
        <f t="shared" si="1"/>
        <v>1368.8999999999999</v>
      </c>
    </row>
    <row r="69" spans="1:16" ht="15" thickBot="1">
      <c r="B69">
        <v>46</v>
      </c>
      <c r="C69" s="4" t="s">
        <v>385</v>
      </c>
      <c r="G69" s="84">
        <v>3266</v>
      </c>
      <c r="H69" s="143">
        <v>-1150</v>
      </c>
      <c r="I69" s="313">
        <f t="shared" si="0"/>
        <v>-1210.9499999999998</v>
      </c>
      <c r="J69" s="140" t="s">
        <v>725</v>
      </c>
      <c r="K69" s="144">
        <v>94</v>
      </c>
      <c r="L69" s="61" t="s">
        <v>154</v>
      </c>
      <c r="M69" s="84">
        <v>880</v>
      </c>
      <c r="N69" s="128">
        <v>1650</v>
      </c>
      <c r="O69" s="313">
        <f t="shared" si="1"/>
        <v>1737.4499999999998</v>
      </c>
    </row>
    <row r="70" spans="1:16" ht="15" thickBot="1">
      <c r="B70">
        <v>47</v>
      </c>
      <c r="C70" s="4" t="s">
        <v>386</v>
      </c>
      <c r="G70" s="84">
        <v>3266</v>
      </c>
      <c r="H70" s="143">
        <v>-1640</v>
      </c>
      <c r="I70" s="313">
        <f t="shared" si="0"/>
        <v>-1726.9199999999998</v>
      </c>
      <c r="J70" s="140" t="s">
        <v>725</v>
      </c>
      <c r="K70" s="144">
        <v>95</v>
      </c>
      <c r="L70" s="61" t="s">
        <v>156</v>
      </c>
      <c r="M70" s="84">
        <v>605</v>
      </c>
      <c r="N70" s="128">
        <v>1300</v>
      </c>
      <c r="O70" s="313">
        <f t="shared" si="1"/>
        <v>1368.8999999999999</v>
      </c>
    </row>
    <row r="71" spans="1:16" ht="15" thickBot="1">
      <c r="B71">
        <v>48</v>
      </c>
      <c r="C71" s="4" t="s">
        <v>387</v>
      </c>
      <c r="G71" s="84">
        <v>2569</v>
      </c>
      <c r="H71" s="143" t="s">
        <v>32</v>
      </c>
      <c r="I71" s="313"/>
      <c r="J71" s="140"/>
      <c r="K71" s="144">
        <v>96</v>
      </c>
      <c r="L71" s="61" t="s">
        <v>157</v>
      </c>
      <c r="M71" s="84">
        <v>880</v>
      </c>
      <c r="N71" s="128">
        <v>1650</v>
      </c>
      <c r="O71" s="313">
        <f t="shared" si="1"/>
        <v>1737.4499999999998</v>
      </c>
    </row>
    <row r="72" spans="1:16" ht="15" thickBot="1">
      <c r="C72" s="4"/>
      <c r="G72" s="61"/>
      <c r="H72" s="61"/>
      <c r="I72" s="61"/>
      <c r="K72" s="144">
        <v>97</v>
      </c>
      <c r="L72" s="61" t="s">
        <v>158</v>
      </c>
      <c r="M72" s="84">
        <v>1230</v>
      </c>
      <c r="N72" s="128">
        <v>1852.5</v>
      </c>
      <c r="O72" s="313">
        <f t="shared" si="1"/>
        <v>1950.6824999999999</v>
      </c>
      <c r="P72" t="s">
        <v>388</v>
      </c>
    </row>
    <row r="73" spans="1:16" ht="15" thickBot="1">
      <c r="A73" s="61"/>
      <c r="B73" s="61"/>
      <c r="C73" s="61"/>
      <c r="D73" s="61"/>
      <c r="E73" s="61"/>
      <c r="F73" s="61"/>
      <c r="G73" s="61"/>
      <c r="H73" s="61"/>
      <c r="I73" s="61"/>
      <c r="K73" s="144">
        <v>98</v>
      </c>
      <c r="L73" s="61" t="s">
        <v>160</v>
      </c>
      <c r="M73" s="84">
        <v>1770</v>
      </c>
      <c r="N73" s="128">
        <v>2723.5</v>
      </c>
      <c r="O73" s="313">
        <f t="shared" si="1"/>
        <v>2867.8454999999999</v>
      </c>
    </row>
    <row r="74" spans="1:16" ht="15" thickBot="1">
      <c r="A74" s="61"/>
      <c r="B74" s="61"/>
      <c r="C74" s="61"/>
      <c r="D74" s="61"/>
      <c r="E74" s="61"/>
      <c r="F74" s="61"/>
      <c r="G74" s="61"/>
      <c r="H74" s="61"/>
      <c r="I74" s="61"/>
      <c r="K74" s="144">
        <v>99</v>
      </c>
      <c r="L74" s="61" t="s">
        <v>161</v>
      </c>
      <c r="M74" s="84">
        <v>1902</v>
      </c>
      <c r="N74" s="128">
        <v>2730</v>
      </c>
      <c r="O74" s="313">
        <f t="shared" si="1"/>
        <v>2874.6899999999996</v>
      </c>
    </row>
    <row r="75" spans="1:16" ht="15" thickBot="1">
      <c r="A75" s="61"/>
      <c r="B75" s="61"/>
      <c r="C75" s="61"/>
      <c r="D75" s="61"/>
      <c r="E75" s="61"/>
      <c r="F75" s="61"/>
      <c r="G75" s="61"/>
      <c r="H75" s="61"/>
      <c r="I75" s="61"/>
      <c r="K75" s="144">
        <v>100</v>
      </c>
      <c r="L75" s="61" t="s">
        <v>162</v>
      </c>
      <c r="M75" s="84">
        <v>2070</v>
      </c>
      <c r="N75" s="128">
        <v>2632.5</v>
      </c>
      <c r="O75" s="313">
        <f t="shared" si="1"/>
        <v>2772.0225</v>
      </c>
    </row>
    <row r="76" spans="1:16" ht="15" thickBot="1">
      <c r="A76" s="61"/>
      <c r="B76" s="61"/>
      <c r="C76" s="61"/>
      <c r="D76" s="61"/>
      <c r="E76" s="61"/>
      <c r="F76" s="61"/>
      <c r="G76" s="61"/>
      <c r="H76" s="61"/>
      <c r="I76" s="61"/>
      <c r="K76" s="145">
        <v>101</v>
      </c>
      <c r="L76" s="61" t="s">
        <v>25</v>
      </c>
      <c r="M76" s="84">
        <v>5463</v>
      </c>
      <c r="N76" s="128">
        <v>7101.9000000000005</v>
      </c>
      <c r="O76" s="313">
        <f t="shared" si="1"/>
        <v>7478.3006999999998</v>
      </c>
    </row>
    <row r="77" spans="1:16" ht="15" thickBot="1">
      <c r="A77" s="61"/>
      <c r="B77" s="61"/>
      <c r="C77" s="61"/>
      <c r="D77" s="61"/>
      <c r="E77" s="61"/>
      <c r="F77" s="61"/>
      <c r="G77" s="61"/>
      <c r="H77" s="61"/>
      <c r="I77" s="61"/>
      <c r="K77" s="145">
        <v>102</v>
      </c>
      <c r="L77" s="61" t="s">
        <v>28</v>
      </c>
      <c r="M77" s="84">
        <v>7095</v>
      </c>
      <c r="N77" s="128">
        <v>9223.5</v>
      </c>
      <c r="O77" s="313">
        <f t="shared" si="1"/>
        <v>9712.3454999999994</v>
      </c>
    </row>
    <row r="78" spans="1:16" ht="15" thickBot="1">
      <c r="A78" s="61"/>
      <c r="B78" s="61"/>
      <c r="C78" s="61"/>
      <c r="D78" s="61"/>
      <c r="E78" s="61"/>
      <c r="F78" s="61"/>
      <c r="G78" s="61"/>
      <c r="H78" s="61"/>
      <c r="I78" s="61"/>
      <c r="K78" s="145">
        <v>103</v>
      </c>
      <c r="L78" s="61" t="s">
        <v>389</v>
      </c>
      <c r="M78" s="84" t="s">
        <v>209</v>
      </c>
      <c r="N78" s="128" t="s">
        <v>209</v>
      </c>
      <c r="O78" s="313"/>
    </row>
    <row r="79" spans="1:16" ht="15" thickBot="1">
      <c r="A79" s="61"/>
      <c r="B79" s="61"/>
      <c r="C79" s="61"/>
      <c r="D79" s="61"/>
      <c r="E79" s="61"/>
      <c r="F79" s="61"/>
      <c r="G79" s="61"/>
      <c r="H79" s="61"/>
      <c r="I79" s="61"/>
      <c r="K79" s="145">
        <v>104</v>
      </c>
      <c r="L79" s="61" t="s">
        <v>390</v>
      </c>
      <c r="M79" s="84">
        <v>2998</v>
      </c>
      <c r="N79" s="127">
        <v>3445</v>
      </c>
      <c r="O79" s="313">
        <f t="shared" si="1"/>
        <v>3627.5849999999996</v>
      </c>
    </row>
    <row r="80" spans="1:16" ht="15" thickBot="1">
      <c r="A80" s="61"/>
      <c r="B80" s="61"/>
      <c r="C80" s="61"/>
      <c r="D80" s="61"/>
      <c r="E80" s="61"/>
      <c r="F80" s="61"/>
      <c r="G80" s="61"/>
      <c r="H80" s="61"/>
      <c r="I80" s="61"/>
      <c r="K80" s="145">
        <v>105</v>
      </c>
      <c r="L80" s="61" t="s">
        <v>391</v>
      </c>
      <c r="M80" s="84">
        <v>8085</v>
      </c>
      <c r="N80" s="127">
        <v>2600</v>
      </c>
      <c r="O80" s="313">
        <f t="shared" si="1"/>
        <v>2737.7999999999997</v>
      </c>
    </row>
    <row r="81" spans="7:12">
      <c r="G81" s="61"/>
      <c r="H81" s="61"/>
      <c r="I81" s="61"/>
    </row>
    <row r="82" spans="7:12">
      <c r="G82" s="61"/>
      <c r="H82" s="61"/>
      <c r="I82" s="61"/>
    </row>
    <row r="83" spans="7:12">
      <c r="G83" s="61"/>
      <c r="H83" s="61"/>
      <c r="I83" s="61"/>
      <c r="J83" s="61"/>
    </row>
    <row r="84" spans="7:12">
      <c r="G84" s="61"/>
      <c r="H84" s="61"/>
      <c r="I84" s="61"/>
      <c r="J84" s="61"/>
      <c r="K84" s="61"/>
      <c r="L84" s="61"/>
    </row>
    <row r="85" spans="7:12">
      <c r="G85" s="61"/>
      <c r="H85" s="61"/>
      <c r="I85" s="61"/>
      <c r="J85" s="61"/>
      <c r="K85" s="61"/>
      <c r="L85" s="61"/>
    </row>
    <row r="86" spans="7:12">
      <c r="G86" s="61"/>
      <c r="H86" s="61"/>
      <c r="I86" s="61"/>
      <c r="J86" s="61"/>
      <c r="K86" s="61"/>
      <c r="L86" s="61"/>
    </row>
    <row r="87" spans="7:12">
      <c r="G87" s="61"/>
      <c r="H87" s="61"/>
      <c r="I87" s="61"/>
      <c r="J87" s="61"/>
      <c r="K87" s="61"/>
      <c r="L87" s="61"/>
    </row>
    <row r="88" spans="7:12">
      <c r="G88" s="61"/>
      <c r="H88" s="61"/>
      <c r="I88" s="61"/>
      <c r="J88" s="61"/>
      <c r="K88" s="61"/>
      <c r="L88" s="61"/>
    </row>
    <row r="89" spans="7:12">
      <c r="G89" s="61"/>
      <c r="H89" s="61"/>
      <c r="I89" s="61"/>
      <c r="J89" s="61"/>
      <c r="K89" s="61"/>
      <c r="L89" s="61"/>
    </row>
    <row r="90" spans="7:12">
      <c r="G90" s="61"/>
      <c r="H90" s="61"/>
      <c r="I90" s="61"/>
      <c r="J90" s="61"/>
      <c r="K90" s="61"/>
      <c r="L90" s="61"/>
    </row>
    <row r="91" spans="7:12">
      <c r="G91" s="61"/>
      <c r="H91" s="61"/>
      <c r="I91" s="61"/>
      <c r="J91" s="61"/>
      <c r="K91" s="61"/>
      <c r="L91" s="61"/>
    </row>
    <row r="92" spans="7:12">
      <c r="G92" s="61"/>
      <c r="H92" s="61"/>
      <c r="I92" s="61"/>
      <c r="J92" s="61"/>
      <c r="K92" s="61"/>
      <c r="L92" s="61"/>
    </row>
    <row r="93" spans="7:12">
      <c r="G93" s="61"/>
      <c r="H93" s="61"/>
      <c r="I93" s="61"/>
      <c r="J93" s="61"/>
      <c r="K93" s="61"/>
      <c r="L93" s="61"/>
    </row>
    <row r="94" spans="7:12">
      <c r="G94" s="61"/>
      <c r="H94" s="61"/>
      <c r="I94" s="61"/>
      <c r="J94" s="61"/>
      <c r="K94" s="61"/>
      <c r="L94" s="61"/>
    </row>
    <row r="95" spans="7:12">
      <c r="G95" s="61"/>
      <c r="H95" s="61"/>
      <c r="I95" s="61"/>
      <c r="J95" s="61"/>
      <c r="K95" s="61"/>
      <c r="L95" s="61"/>
    </row>
    <row r="96" spans="7:12">
      <c r="G96" s="61"/>
      <c r="H96" s="61"/>
      <c r="I96" s="61"/>
      <c r="J96" s="61"/>
      <c r="K96" s="61"/>
      <c r="L96" s="61"/>
    </row>
    <row r="97" spans="7:12">
      <c r="G97" s="61"/>
      <c r="H97" s="61"/>
      <c r="I97" s="61"/>
      <c r="J97" s="61"/>
      <c r="K97" s="61"/>
      <c r="L97" s="61"/>
    </row>
    <row r="98" spans="7:12">
      <c r="G98" s="61"/>
      <c r="H98" s="61"/>
      <c r="I98" s="61"/>
      <c r="J98" s="61"/>
      <c r="K98" s="61"/>
      <c r="L98" s="61"/>
    </row>
    <row r="99" spans="7:12">
      <c r="G99" s="61"/>
      <c r="H99" s="61"/>
      <c r="I99" s="61"/>
      <c r="J99" s="61"/>
      <c r="K99" s="61"/>
      <c r="L99" s="61"/>
    </row>
    <row r="100" spans="7:12">
      <c r="G100" s="61"/>
      <c r="H100" s="61"/>
      <c r="I100" s="61"/>
      <c r="J100" s="61"/>
      <c r="K100" s="61"/>
      <c r="L100" s="61"/>
    </row>
    <row r="101" spans="7:12">
      <c r="G101" s="61"/>
      <c r="H101" s="61"/>
      <c r="I101" s="61"/>
      <c r="J101" s="61"/>
      <c r="K101" s="61"/>
      <c r="L101" s="61"/>
    </row>
    <row r="102" spans="7:12">
      <c r="G102" s="61"/>
      <c r="H102" s="61"/>
      <c r="I102" s="61"/>
      <c r="J102" s="61"/>
      <c r="K102" s="61"/>
      <c r="L102" s="61"/>
    </row>
    <row r="103" spans="7:12">
      <c r="G103" s="61"/>
      <c r="H103" s="61"/>
      <c r="I103" s="61"/>
      <c r="J103" s="61"/>
      <c r="K103" s="61"/>
      <c r="L103" s="61"/>
    </row>
    <row r="104" spans="7:12">
      <c r="G104" s="61"/>
      <c r="H104" s="61"/>
      <c r="I104" s="61"/>
      <c r="J104" s="61"/>
      <c r="K104" s="61"/>
      <c r="L104" s="61"/>
    </row>
    <row r="105" spans="7:12">
      <c r="G105" s="61"/>
      <c r="H105" s="61"/>
      <c r="I105" s="61"/>
      <c r="J105" s="61"/>
      <c r="K105" s="61"/>
      <c r="L105" s="61"/>
    </row>
    <row r="106" spans="7:12">
      <c r="G106" s="61"/>
      <c r="H106" s="61"/>
      <c r="I106" s="61"/>
      <c r="J106" s="61"/>
      <c r="K106" s="61"/>
      <c r="L106" s="61"/>
    </row>
    <row r="107" spans="7:12">
      <c r="G107" s="61"/>
      <c r="H107" s="61"/>
      <c r="I107" s="61"/>
      <c r="J107" s="61"/>
      <c r="K107" s="61"/>
      <c r="L107" s="61"/>
    </row>
    <row r="108" spans="7:12">
      <c r="G108" s="61"/>
      <c r="H108" s="61"/>
      <c r="I108" s="61"/>
      <c r="J108" s="61"/>
      <c r="K108" s="61"/>
      <c r="L108" s="61"/>
    </row>
    <row r="109" spans="7:12">
      <c r="G109" s="61"/>
      <c r="H109" s="61"/>
      <c r="I109" s="61"/>
      <c r="J109" s="61"/>
      <c r="K109" s="61"/>
      <c r="L109" s="61"/>
    </row>
    <row r="110" spans="7:12">
      <c r="G110" s="61"/>
      <c r="H110" s="61"/>
      <c r="I110" s="61"/>
      <c r="J110" s="61"/>
      <c r="K110" s="61"/>
      <c r="L110" s="61"/>
    </row>
    <row r="111" spans="7:12">
      <c r="G111" s="61"/>
      <c r="H111" s="61"/>
      <c r="I111" s="61"/>
      <c r="J111" s="61"/>
      <c r="K111" s="61"/>
      <c r="L111" s="61"/>
    </row>
    <row r="112" spans="7:12">
      <c r="G112" s="61"/>
      <c r="H112" s="61"/>
      <c r="I112" s="61"/>
      <c r="J112" s="61"/>
      <c r="K112" s="61"/>
      <c r="L112" s="61"/>
    </row>
    <row r="113" spans="7:12">
      <c r="G113" s="61"/>
      <c r="H113" s="61"/>
      <c r="I113" s="61"/>
      <c r="J113" s="61"/>
      <c r="K113" s="61"/>
      <c r="L113" s="61"/>
    </row>
    <row r="114" spans="7:12">
      <c r="G114" s="61"/>
      <c r="H114" s="61"/>
      <c r="I114" s="61"/>
      <c r="J114" s="61"/>
      <c r="K114" s="61"/>
      <c r="L114" s="61"/>
    </row>
    <row r="115" spans="7:12">
      <c r="G115" s="61"/>
      <c r="H115" s="61"/>
      <c r="I115" s="61"/>
      <c r="J115" s="61"/>
      <c r="K115" s="61"/>
      <c r="L115" s="61"/>
    </row>
    <row r="116" spans="7:12">
      <c r="G116" s="61"/>
      <c r="H116" s="61"/>
      <c r="I116" s="61"/>
      <c r="J116" s="61"/>
      <c r="K116" s="61"/>
      <c r="L116" s="61"/>
    </row>
    <row r="117" spans="7:12">
      <c r="G117" s="61"/>
      <c r="H117" s="61"/>
      <c r="I117" s="61"/>
      <c r="J117" s="61"/>
      <c r="K117" s="61"/>
      <c r="L117" s="61"/>
    </row>
    <row r="118" spans="7:12">
      <c r="G118" s="61"/>
      <c r="H118" s="61"/>
      <c r="I118" s="61"/>
      <c r="J118" s="61"/>
      <c r="K118" s="61"/>
      <c r="L118" s="61"/>
    </row>
    <row r="119" spans="7:12">
      <c r="G119" s="61"/>
      <c r="H119" s="61"/>
      <c r="I119" s="61"/>
      <c r="J119" s="61"/>
      <c r="K119" s="61"/>
      <c r="L119" s="61"/>
    </row>
    <row r="120" spans="7:12">
      <c r="G120" s="61"/>
      <c r="H120" s="61"/>
      <c r="I120" s="61"/>
      <c r="J120" s="61"/>
      <c r="K120" s="61"/>
      <c r="L120" s="61"/>
    </row>
    <row r="121" spans="7:12">
      <c r="G121" s="61"/>
      <c r="H121" s="61"/>
      <c r="I121" s="61"/>
      <c r="J121" s="61"/>
      <c r="K121" s="61"/>
      <c r="L121" s="61"/>
    </row>
    <row r="122" spans="7:12">
      <c r="G122" s="61"/>
      <c r="H122" s="61"/>
      <c r="I122" s="61"/>
      <c r="J122" s="61"/>
      <c r="K122" s="61"/>
      <c r="L122" s="61"/>
    </row>
  </sheetData>
  <sheetProtection algorithmName="SHA-512" hashValue="21TuI2L2DTptJqepZeywbNmwYRDd0vKaJMRHrdP7xBH6q/WjBYnjjDQBgHR9YpGs+RVr2PYRRnI1U89WQFHqZg==" saltValue="9f5BKYddcEGs45qf81Wdiw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9ECD-53B4-4CE5-81FE-1CEB4DF5CDE2}">
  <dimension ref="A2:X182"/>
  <sheetViews>
    <sheetView topLeftCell="B65" workbookViewId="0">
      <selection activeCell="J90" sqref="J90"/>
    </sheetView>
  </sheetViews>
  <sheetFormatPr defaultRowHeight="14.4"/>
  <cols>
    <col min="7" max="7" width="21.33203125" bestFit="1" customWidth="1"/>
    <col min="8" max="8" width="9.44140625" customWidth="1"/>
    <col min="10" max="11" width="44.33203125" bestFit="1" customWidth="1"/>
    <col min="12" max="12" width="14.21875" customWidth="1"/>
    <col min="13" max="13" width="11.6640625" bestFit="1" customWidth="1"/>
    <col min="14" max="14" width="36.109375" customWidth="1"/>
    <col min="15" max="15" width="25.77734375" customWidth="1"/>
    <col min="16" max="16" width="10.44140625" bestFit="1" customWidth="1"/>
    <col min="17" max="17" width="37.5546875" bestFit="1" customWidth="1"/>
    <col min="18" max="18" width="9.6640625" bestFit="1" customWidth="1"/>
  </cols>
  <sheetData>
    <row r="2" spans="1:23">
      <c r="J2" s="1" t="s">
        <v>475</v>
      </c>
      <c r="K2" s="48"/>
      <c r="L2" s="1" t="s">
        <v>1025</v>
      </c>
      <c r="O2" s="20" t="s">
        <v>730</v>
      </c>
      <c r="P2" s="48"/>
      <c r="Q2" s="48"/>
    </row>
    <row r="3" spans="1:23">
      <c r="B3" s="1" t="s">
        <v>223</v>
      </c>
      <c r="O3" s="20" t="s">
        <v>731</v>
      </c>
      <c r="P3" s="48"/>
      <c r="Q3" s="48"/>
    </row>
    <row r="4" spans="1:23">
      <c r="B4" s="1" t="s">
        <v>395</v>
      </c>
      <c r="I4" s="1" t="s">
        <v>745</v>
      </c>
      <c r="K4" s="316" t="s">
        <v>891</v>
      </c>
    </row>
    <row r="5" spans="1:23">
      <c r="B5" s="1"/>
      <c r="I5" s="1" t="s">
        <v>746</v>
      </c>
    </row>
    <row r="6" spans="1:23" ht="15" thickBot="1">
      <c r="B6" s="1" t="s">
        <v>1</v>
      </c>
      <c r="G6" s="2" t="s">
        <v>752</v>
      </c>
      <c r="H6" s="1"/>
      <c r="I6" s="1" t="s">
        <v>747</v>
      </c>
      <c r="K6" t="s">
        <v>396</v>
      </c>
      <c r="L6" s="149">
        <v>86736</v>
      </c>
      <c r="M6" s="72">
        <v>140860</v>
      </c>
      <c r="N6" s="313">
        <f t="shared" ref="N6:N7" si="0">M6*1.049</f>
        <v>147762.13999999998</v>
      </c>
      <c r="O6" t="s">
        <v>754</v>
      </c>
    </row>
    <row r="7" spans="1:23" ht="15" thickBot="1">
      <c r="B7" s="1" t="s">
        <v>2</v>
      </c>
      <c r="G7" s="2" t="s">
        <v>397</v>
      </c>
      <c r="H7" s="1"/>
      <c r="I7" s="1"/>
      <c r="K7" t="s">
        <v>398</v>
      </c>
      <c r="L7" s="149">
        <v>104413</v>
      </c>
      <c r="M7" s="72">
        <f>146700+6253</f>
        <v>152953</v>
      </c>
      <c r="N7" s="313">
        <f t="shared" si="0"/>
        <v>160447.69699999999</v>
      </c>
      <c r="O7" t="s">
        <v>753</v>
      </c>
    </row>
    <row r="9" spans="1:23" ht="15" thickBot="1">
      <c r="B9" s="3" t="s">
        <v>399</v>
      </c>
      <c r="F9" s="1"/>
      <c r="G9" s="2" t="s">
        <v>400</v>
      </c>
      <c r="H9" s="1"/>
      <c r="I9" s="1"/>
    </row>
    <row r="10" spans="1:23">
      <c r="B10" s="4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>
      <c r="B11" s="3" t="s">
        <v>239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ht="15" thickBot="1">
      <c r="A12">
        <v>1</v>
      </c>
      <c r="B12" s="4" t="s">
        <v>401</v>
      </c>
      <c r="G12" s="149" t="s">
        <v>9</v>
      </c>
      <c r="H12" s="86" t="s">
        <v>32</v>
      </c>
      <c r="I12" s="313"/>
      <c r="J12" s="61">
        <v>51</v>
      </c>
      <c r="K12" s="118" t="s">
        <v>402</v>
      </c>
      <c r="L12" s="118"/>
      <c r="M12" s="149">
        <v>750</v>
      </c>
      <c r="N12" s="150">
        <v>1295</v>
      </c>
      <c r="O12" s="313">
        <f t="shared" ref="O12:O60" si="1">N12*1.049</f>
        <v>1358.4549999999999</v>
      </c>
      <c r="P12" s="61">
        <v>112</v>
      </c>
      <c r="Q12" s="118" t="s">
        <v>403</v>
      </c>
      <c r="R12" s="149" t="s">
        <v>57</v>
      </c>
      <c r="S12" s="150" t="s">
        <v>208</v>
      </c>
      <c r="T12" s="313"/>
      <c r="U12" s="61" t="s">
        <v>404</v>
      </c>
      <c r="V12" s="61"/>
      <c r="W12" s="61"/>
    </row>
    <row r="13" spans="1:23" ht="15" thickBot="1">
      <c r="A13">
        <f>A12+1</f>
        <v>2</v>
      </c>
      <c r="B13" s="4" t="s">
        <v>405</v>
      </c>
      <c r="G13" s="149" t="s">
        <v>9</v>
      </c>
      <c r="H13" s="86" t="s">
        <v>32</v>
      </c>
      <c r="I13" s="313"/>
      <c r="J13" s="61">
        <f>J12+1</f>
        <v>52</v>
      </c>
      <c r="K13" s="118" t="s">
        <v>406</v>
      </c>
      <c r="L13" s="118"/>
      <c r="M13" s="149">
        <v>800</v>
      </c>
      <c r="N13" s="151">
        <v>1500</v>
      </c>
      <c r="O13" s="313">
        <f t="shared" si="1"/>
        <v>1573.5</v>
      </c>
      <c r="P13" s="61">
        <v>113</v>
      </c>
      <c r="Q13" s="118" t="s">
        <v>407</v>
      </c>
      <c r="R13" s="149" t="s">
        <v>32</v>
      </c>
      <c r="S13" s="128" t="s">
        <v>32</v>
      </c>
      <c r="T13" s="313"/>
      <c r="U13" s="61"/>
      <c r="V13" s="61"/>
      <c r="W13" s="61"/>
    </row>
    <row r="14" spans="1:23" ht="15" thickBot="1">
      <c r="A14">
        <f t="shared" ref="A14:A61" si="2">A13+1</f>
        <v>3</v>
      </c>
      <c r="B14" s="4" t="s">
        <v>26</v>
      </c>
      <c r="G14" s="149" t="s">
        <v>9</v>
      </c>
      <c r="H14" s="86" t="s">
        <v>32</v>
      </c>
      <c r="I14" s="313"/>
      <c r="J14" s="61">
        <f t="shared" ref="J14:J63" si="3">J13+1</f>
        <v>53</v>
      </c>
      <c r="K14" s="118" t="s">
        <v>408</v>
      </c>
      <c r="L14" s="118"/>
      <c r="M14" s="149" t="s">
        <v>32</v>
      </c>
      <c r="N14" s="152" t="s">
        <v>32</v>
      </c>
      <c r="O14" s="313"/>
      <c r="P14" s="61">
        <v>114</v>
      </c>
      <c r="Q14" s="118" t="s">
        <v>409</v>
      </c>
      <c r="R14" s="149">
        <v>495</v>
      </c>
      <c r="S14" s="128">
        <v>495</v>
      </c>
      <c r="T14" s="313">
        <f t="shared" ref="T14:T33" si="4">S14*1.049</f>
        <v>519.255</v>
      </c>
      <c r="U14" s="61"/>
      <c r="V14" s="61"/>
      <c r="W14" s="61"/>
    </row>
    <row r="15" spans="1:23" ht="15" thickBot="1">
      <c r="A15">
        <f t="shared" si="2"/>
        <v>4</v>
      </c>
      <c r="B15" s="4" t="s">
        <v>29</v>
      </c>
      <c r="G15" s="149" t="s">
        <v>9</v>
      </c>
      <c r="H15" s="86" t="s">
        <v>32</v>
      </c>
      <c r="I15" s="313"/>
      <c r="J15" s="61">
        <f t="shared" si="3"/>
        <v>54</v>
      </c>
      <c r="K15" s="118" t="s">
        <v>410</v>
      </c>
      <c r="L15" s="118"/>
      <c r="M15" s="149" t="s">
        <v>32</v>
      </c>
      <c r="N15" s="153" t="s">
        <v>32</v>
      </c>
      <c r="O15" s="313"/>
      <c r="P15" s="61">
        <v>115</v>
      </c>
      <c r="Q15" s="118" t="s">
        <v>411</v>
      </c>
      <c r="R15" s="149">
        <v>75</v>
      </c>
      <c r="S15" s="128">
        <v>75</v>
      </c>
      <c r="T15" s="313">
        <f t="shared" si="4"/>
        <v>78.674999999999997</v>
      </c>
      <c r="U15" s="61"/>
      <c r="V15" s="61"/>
      <c r="W15" s="61"/>
    </row>
    <row r="16" spans="1:23" ht="15" thickBot="1">
      <c r="A16">
        <f t="shared" si="2"/>
        <v>5</v>
      </c>
      <c r="B16" s="4" t="s">
        <v>34</v>
      </c>
      <c r="G16" s="149">
        <v>635</v>
      </c>
      <c r="H16" s="85">
        <v>775</v>
      </c>
      <c r="I16" s="313">
        <f t="shared" ref="I16:I50" si="5">H16*1.049</f>
        <v>812.97499999999991</v>
      </c>
      <c r="J16" s="61">
        <f t="shared" si="3"/>
        <v>55</v>
      </c>
      <c r="K16" s="118" t="s">
        <v>412</v>
      </c>
      <c r="L16" s="118"/>
      <c r="M16" s="149">
        <v>220</v>
      </c>
      <c r="N16" s="151">
        <v>500</v>
      </c>
      <c r="O16" s="313">
        <f t="shared" si="1"/>
        <v>524.5</v>
      </c>
      <c r="P16" s="61">
        <v>116</v>
      </c>
      <c r="Q16" s="118" t="s">
        <v>413</v>
      </c>
      <c r="R16" s="149">
        <v>75</v>
      </c>
      <c r="S16" s="128">
        <v>75</v>
      </c>
      <c r="T16" s="313">
        <f t="shared" si="4"/>
        <v>78.674999999999997</v>
      </c>
      <c r="U16" s="61"/>
      <c r="V16" s="61"/>
      <c r="W16" s="61"/>
    </row>
    <row r="17" spans="1:23" ht="15" thickBot="1">
      <c r="A17">
        <f t="shared" si="2"/>
        <v>6</v>
      </c>
      <c r="B17" s="4" t="s">
        <v>37</v>
      </c>
      <c r="G17" s="149">
        <v>1016</v>
      </c>
      <c r="H17" s="85">
        <v>1250</v>
      </c>
      <c r="I17" s="313">
        <f t="shared" si="5"/>
        <v>1311.25</v>
      </c>
      <c r="J17" s="61">
        <f t="shared" si="3"/>
        <v>56</v>
      </c>
      <c r="K17" s="118" t="s">
        <v>414</v>
      </c>
      <c r="L17" s="118"/>
      <c r="M17" s="149" t="s">
        <v>208</v>
      </c>
      <c r="N17" s="151" t="s">
        <v>208</v>
      </c>
      <c r="O17" s="313"/>
      <c r="P17" s="61">
        <v>117</v>
      </c>
      <c r="Q17" s="118" t="s">
        <v>407</v>
      </c>
      <c r="R17" s="149" t="s">
        <v>32</v>
      </c>
      <c r="S17" s="128" t="s">
        <v>32</v>
      </c>
      <c r="T17" s="313"/>
      <c r="U17" s="61"/>
      <c r="V17" s="61"/>
      <c r="W17" s="61"/>
    </row>
    <row r="18" spans="1:23" ht="15" thickBot="1">
      <c r="A18">
        <f t="shared" si="2"/>
        <v>7</v>
      </c>
      <c r="B18" s="4" t="s">
        <v>39</v>
      </c>
      <c r="G18" s="149">
        <v>1568</v>
      </c>
      <c r="H18" s="85">
        <v>1900</v>
      </c>
      <c r="I18" s="313">
        <f t="shared" si="5"/>
        <v>1993.1</v>
      </c>
      <c r="J18" s="61">
        <f t="shared" si="3"/>
        <v>57</v>
      </c>
      <c r="K18" s="118" t="s">
        <v>415</v>
      </c>
      <c r="L18" s="118"/>
      <c r="M18" s="149">
        <v>350</v>
      </c>
      <c r="N18" s="151" t="s">
        <v>208</v>
      </c>
      <c r="O18" s="313"/>
      <c r="P18" s="61">
        <v>118</v>
      </c>
      <c r="Q18" s="118" t="s">
        <v>416</v>
      </c>
      <c r="R18" s="149">
        <v>490</v>
      </c>
      <c r="S18" s="128" t="s">
        <v>209</v>
      </c>
      <c r="T18" s="313"/>
      <c r="U18" s="61"/>
      <c r="V18" s="61"/>
      <c r="W18" s="61"/>
    </row>
    <row r="19" spans="1:23" ht="15" thickBot="1">
      <c r="A19">
        <f t="shared" si="2"/>
        <v>8</v>
      </c>
      <c r="B19" s="4" t="s">
        <v>41</v>
      </c>
      <c r="G19" s="149">
        <v>1302</v>
      </c>
      <c r="H19" s="86" t="s">
        <v>32</v>
      </c>
      <c r="I19" s="313"/>
      <c r="J19" s="61">
        <f t="shared" si="3"/>
        <v>58</v>
      </c>
      <c r="K19" s="118" t="s">
        <v>417</v>
      </c>
      <c r="L19" s="118"/>
      <c r="M19" s="149">
        <v>350</v>
      </c>
      <c r="N19" s="151" t="s">
        <v>208</v>
      </c>
      <c r="O19" s="313"/>
      <c r="P19" s="61">
        <v>119</v>
      </c>
      <c r="Q19" s="118" t="s">
        <v>418</v>
      </c>
      <c r="R19" s="149" t="s">
        <v>209</v>
      </c>
      <c r="S19" s="128" t="s">
        <v>209</v>
      </c>
      <c r="T19" s="313"/>
      <c r="U19" s="61"/>
      <c r="V19" s="61"/>
      <c r="W19" s="61"/>
    </row>
    <row r="20" spans="1:23" ht="15" thickBot="1">
      <c r="A20">
        <f t="shared" si="2"/>
        <v>9</v>
      </c>
      <c r="B20" s="4" t="s">
        <v>43</v>
      </c>
      <c r="G20" s="149">
        <v>920</v>
      </c>
      <c r="H20" s="86" t="s">
        <v>32</v>
      </c>
      <c r="I20" s="313"/>
      <c r="J20" s="61">
        <f t="shared" si="3"/>
        <v>59</v>
      </c>
      <c r="K20" s="118" t="s">
        <v>419</v>
      </c>
      <c r="L20" s="118"/>
      <c r="M20" s="149">
        <v>350</v>
      </c>
      <c r="N20" s="151" t="s">
        <v>208</v>
      </c>
      <c r="O20" s="313"/>
      <c r="P20" s="61">
        <v>120</v>
      </c>
      <c r="Q20" s="118" t="s">
        <v>420</v>
      </c>
      <c r="R20" s="149" t="s">
        <v>32</v>
      </c>
      <c r="S20" s="128" t="s">
        <v>32</v>
      </c>
      <c r="T20" s="313"/>
      <c r="U20" s="61"/>
      <c r="V20" s="61"/>
      <c r="W20" s="61"/>
    </row>
    <row r="21" spans="1:23" ht="15" thickBot="1">
      <c r="A21">
        <f t="shared" si="2"/>
        <v>10</v>
      </c>
      <c r="B21" s="4" t="s">
        <v>45</v>
      </c>
      <c r="G21" s="149">
        <v>-120</v>
      </c>
      <c r="H21" s="85">
        <v>-120</v>
      </c>
      <c r="I21" s="313">
        <f t="shared" si="5"/>
        <v>-125.88</v>
      </c>
      <c r="J21" s="61">
        <f t="shared" si="3"/>
        <v>60</v>
      </c>
      <c r="K21" s="118" t="s">
        <v>59</v>
      </c>
      <c r="L21" s="118"/>
      <c r="M21" s="149">
        <v>595</v>
      </c>
      <c r="N21" s="151">
        <v>495</v>
      </c>
      <c r="O21" s="313">
        <f t="shared" si="1"/>
        <v>519.255</v>
      </c>
      <c r="P21" s="135">
        <v>121</v>
      </c>
      <c r="Q21" s="135" t="s">
        <v>421</v>
      </c>
      <c r="R21" s="149" t="s">
        <v>32</v>
      </c>
      <c r="S21" s="128" t="s">
        <v>32</v>
      </c>
      <c r="T21" s="313"/>
      <c r="U21" s="61"/>
      <c r="V21" s="61"/>
      <c r="W21" s="61"/>
    </row>
    <row r="22" spans="1:23" ht="15" thickBot="1">
      <c r="A22">
        <f t="shared" si="2"/>
        <v>11</v>
      </c>
      <c r="B22" s="4" t="s">
        <v>60</v>
      </c>
      <c r="G22" s="149">
        <v>73</v>
      </c>
      <c r="H22" s="85">
        <v>85</v>
      </c>
      <c r="I22" s="313">
        <f t="shared" si="5"/>
        <v>89.164999999999992</v>
      </c>
      <c r="J22" s="61">
        <f t="shared" si="3"/>
        <v>61</v>
      </c>
      <c r="K22" s="118" t="s">
        <v>67</v>
      </c>
      <c r="L22" s="118"/>
      <c r="M22" s="149">
        <v>770</v>
      </c>
      <c r="N22" s="151">
        <v>150</v>
      </c>
      <c r="O22" s="313">
        <f t="shared" si="1"/>
        <v>157.35</v>
      </c>
      <c r="P22" s="61">
        <v>122</v>
      </c>
      <c r="Q22" s="135" t="s">
        <v>422</v>
      </c>
      <c r="R22" s="149">
        <v>788</v>
      </c>
      <c r="S22" s="128" t="s">
        <v>209</v>
      </c>
      <c r="T22" s="313"/>
      <c r="U22" s="61"/>
      <c r="V22" s="61"/>
      <c r="W22" s="61"/>
    </row>
    <row r="23" spans="1:23" ht="15" thickBot="1">
      <c r="A23">
        <f t="shared" si="2"/>
        <v>12</v>
      </c>
      <c r="B23" t="s">
        <v>62</v>
      </c>
      <c r="G23" s="149">
        <v>73</v>
      </c>
      <c r="H23" s="85">
        <v>85</v>
      </c>
      <c r="I23" s="313">
        <f t="shared" si="5"/>
        <v>89.164999999999992</v>
      </c>
      <c r="J23" s="61">
        <f t="shared" si="3"/>
        <v>62</v>
      </c>
      <c r="K23" s="118" t="s">
        <v>69</v>
      </c>
      <c r="L23" s="118"/>
      <c r="M23" s="149" t="s">
        <v>32</v>
      </c>
      <c r="N23" s="151" t="s">
        <v>32</v>
      </c>
      <c r="O23" s="313"/>
      <c r="P23" s="61">
        <v>123</v>
      </c>
      <c r="Q23" s="135" t="s">
        <v>423</v>
      </c>
      <c r="R23" s="149" t="s">
        <v>32</v>
      </c>
      <c r="S23" s="128" t="s">
        <v>32</v>
      </c>
      <c r="T23" s="313"/>
      <c r="U23" s="61"/>
      <c r="V23" s="61"/>
      <c r="W23" s="61"/>
    </row>
    <row r="24" spans="1:23" ht="15" thickBot="1">
      <c r="A24">
        <f t="shared" si="2"/>
        <v>13</v>
      </c>
      <c r="B24" t="s">
        <v>64</v>
      </c>
      <c r="G24" s="149">
        <v>61</v>
      </c>
      <c r="H24" s="85">
        <v>150</v>
      </c>
      <c r="I24" s="313">
        <f t="shared" si="5"/>
        <v>157.35</v>
      </c>
      <c r="J24" s="61">
        <f t="shared" si="3"/>
        <v>63</v>
      </c>
      <c r="K24" s="118" t="s">
        <v>71</v>
      </c>
      <c r="L24" s="118"/>
      <c r="M24" s="149" t="s">
        <v>32</v>
      </c>
      <c r="N24" s="151" t="s">
        <v>32</v>
      </c>
      <c r="O24" s="313"/>
      <c r="P24" s="61">
        <v>124</v>
      </c>
      <c r="Q24" s="118" t="s">
        <v>31</v>
      </c>
      <c r="R24" s="149">
        <v>1130</v>
      </c>
      <c r="S24" s="128">
        <v>1595</v>
      </c>
      <c r="T24" s="313">
        <f t="shared" si="4"/>
        <v>1673.155</v>
      </c>
      <c r="U24" s="61" t="s">
        <v>424</v>
      </c>
      <c r="V24" s="61"/>
      <c r="W24" s="61"/>
    </row>
    <row r="25" spans="1:23" ht="15" thickBot="1">
      <c r="A25">
        <f t="shared" si="2"/>
        <v>14</v>
      </c>
      <c r="B25" t="s">
        <v>66</v>
      </c>
      <c r="G25" s="149">
        <v>84</v>
      </c>
      <c r="H25" s="85">
        <v>105</v>
      </c>
      <c r="I25" s="313">
        <f t="shared" si="5"/>
        <v>110.145</v>
      </c>
      <c r="J25" s="61">
        <f t="shared" si="3"/>
        <v>64</v>
      </c>
      <c r="K25" s="118" t="s">
        <v>75</v>
      </c>
      <c r="L25" s="118"/>
      <c r="M25" s="149" t="s">
        <v>425</v>
      </c>
      <c r="N25" s="154" t="s">
        <v>208</v>
      </c>
      <c r="O25" s="313"/>
      <c r="P25" s="61">
        <v>125</v>
      </c>
      <c r="Q25" s="135" t="s">
        <v>36</v>
      </c>
      <c r="R25" s="149">
        <v>365</v>
      </c>
      <c r="S25" s="128">
        <v>495</v>
      </c>
      <c r="T25" s="313">
        <f t="shared" si="4"/>
        <v>519.255</v>
      </c>
      <c r="U25" s="61" t="s">
        <v>424</v>
      </c>
      <c r="V25" s="61"/>
      <c r="W25" s="61"/>
    </row>
    <row r="26" spans="1:23" ht="15" thickBot="1">
      <c r="A26">
        <f t="shared" si="2"/>
        <v>15</v>
      </c>
      <c r="B26" t="s">
        <v>426</v>
      </c>
      <c r="G26" s="149" t="s">
        <v>32</v>
      </c>
      <c r="H26" s="151" t="s">
        <v>208</v>
      </c>
      <c r="I26" s="313"/>
      <c r="J26" s="61">
        <f t="shared" si="3"/>
        <v>65</v>
      </c>
      <c r="K26" s="118" t="s">
        <v>78</v>
      </c>
      <c r="L26" s="118"/>
      <c r="M26" s="149">
        <v>165</v>
      </c>
      <c r="N26" s="151">
        <v>485</v>
      </c>
      <c r="O26" s="313">
        <f t="shared" si="1"/>
        <v>508.76499999999999</v>
      </c>
      <c r="P26" s="61">
        <v>126</v>
      </c>
      <c r="Q26" s="61" t="s">
        <v>427</v>
      </c>
      <c r="R26" s="149">
        <v>109</v>
      </c>
      <c r="S26" s="128" t="s">
        <v>32</v>
      </c>
      <c r="T26" s="313"/>
      <c r="U26" s="61"/>
      <c r="V26" s="61"/>
      <c r="W26" s="61"/>
    </row>
    <row r="27" spans="1:23" ht="15" thickBot="1">
      <c r="A27">
        <f t="shared" si="2"/>
        <v>16</v>
      </c>
      <c r="B27" t="s">
        <v>428</v>
      </c>
      <c r="G27" s="149">
        <v>55</v>
      </c>
      <c r="H27" s="154" t="s">
        <v>32</v>
      </c>
      <c r="I27" s="313"/>
      <c r="J27" s="61">
        <f t="shared" si="3"/>
        <v>66</v>
      </c>
      <c r="K27" s="118" t="s">
        <v>82</v>
      </c>
      <c r="L27" s="118"/>
      <c r="M27" s="149" t="s">
        <v>32</v>
      </c>
      <c r="N27" s="151" t="s">
        <v>32</v>
      </c>
      <c r="O27" s="313"/>
      <c r="P27" s="61">
        <v>127</v>
      </c>
      <c r="Q27" s="137" t="s">
        <v>429</v>
      </c>
      <c r="R27" s="149" t="s">
        <v>209</v>
      </c>
      <c r="S27" s="128" t="s">
        <v>209</v>
      </c>
      <c r="T27" s="313"/>
      <c r="U27" s="61"/>
      <c r="V27" s="61"/>
      <c r="W27" s="61"/>
    </row>
    <row r="28" spans="1:23" ht="15" thickBot="1">
      <c r="A28">
        <f t="shared" si="2"/>
        <v>17</v>
      </c>
      <c r="B28" t="s">
        <v>68</v>
      </c>
      <c r="G28" s="149">
        <v>75</v>
      </c>
      <c r="H28" s="85">
        <v>150</v>
      </c>
      <c r="I28" s="313">
        <f t="shared" si="5"/>
        <v>157.35</v>
      </c>
      <c r="J28" s="61">
        <f t="shared" si="3"/>
        <v>67</v>
      </c>
      <c r="K28" s="118" t="s">
        <v>430</v>
      </c>
      <c r="L28" s="118"/>
      <c r="M28" s="149" t="s">
        <v>32</v>
      </c>
      <c r="N28" s="151" t="s">
        <v>32</v>
      </c>
      <c r="O28" s="313"/>
      <c r="P28" s="61">
        <v>128</v>
      </c>
      <c r="Q28" s="137" t="s">
        <v>431</v>
      </c>
      <c r="R28" s="149" t="s">
        <v>209</v>
      </c>
      <c r="S28" s="128" t="s">
        <v>209</v>
      </c>
      <c r="T28" s="313"/>
      <c r="U28" s="61"/>
      <c r="V28" s="61"/>
      <c r="W28" s="61"/>
    </row>
    <row r="29" spans="1:23" ht="15" thickBot="1">
      <c r="A29">
        <f t="shared" si="2"/>
        <v>18</v>
      </c>
      <c r="B29" t="s">
        <v>70</v>
      </c>
      <c r="G29" s="149">
        <v>80</v>
      </c>
      <c r="H29" s="85">
        <v>175</v>
      </c>
      <c r="I29" s="313">
        <f t="shared" si="5"/>
        <v>183.57499999999999</v>
      </c>
      <c r="J29" s="61">
        <f t="shared" si="3"/>
        <v>68</v>
      </c>
      <c r="K29" s="118" t="s">
        <v>432</v>
      </c>
      <c r="L29" s="118"/>
      <c r="M29" s="149" t="s">
        <v>32</v>
      </c>
      <c r="N29" s="151" t="s">
        <v>32</v>
      </c>
      <c r="O29" s="313"/>
      <c r="P29" s="138">
        <v>129</v>
      </c>
      <c r="Q29" s="147" t="s">
        <v>433</v>
      </c>
      <c r="R29" s="149"/>
      <c r="S29" s="143" t="s">
        <v>209</v>
      </c>
      <c r="T29" s="313"/>
      <c r="U29" s="61" t="s">
        <v>720</v>
      </c>
      <c r="V29" s="61"/>
      <c r="W29" s="61"/>
    </row>
    <row r="30" spans="1:23" ht="15" thickBot="1">
      <c r="A30">
        <f t="shared" si="2"/>
        <v>19</v>
      </c>
      <c r="B30" t="s">
        <v>72</v>
      </c>
      <c r="G30" s="149">
        <v>50</v>
      </c>
      <c r="H30" s="85">
        <v>45</v>
      </c>
      <c r="I30" s="313">
        <f t="shared" si="5"/>
        <v>47.204999999999998</v>
      </c>
      <c r="J30" s="61">
        <f t="shared" si="3"/>
        <v>69</v>
      </c>
      <c r="K30" s="61" t="s">
        <v>90</v>
      </c>
      <c r="L30" s="61"/>
      <c r="M30" s="149">
        <v>1320</v>
      </c>
      <c r="N30" s="151" t="s">
        <v>209</v>
      </c>
      <c r="O30" s="313"/>
      <c r="P30" s="61">
        <v>130</v>
      </c>
      <c r="Q30" s="155" t="s">
        <v>344</v>
      </c>
      <c r="R30" s="149">
        <v>75</v>
      </c>
      <c r="S30" s="156">
        <v>75</v>
      </c>
      <c r="T30" s="313">
        <f t="shared" si="4"/>
        <v>78.674999999999997</v>
      </c>
      <c r="U30" s="61"/>
      <c r="V30" s="61"/>
      <c r="W30" s="61"/>
    </row>
    <row r="31" spans="1:23" ht="15" thickBot="1">
      <c r="A31">
        <f t="shared" si="2"/>
        <v>20</v>
      </c>
      <c r="B31" t="s">
        <v>74</v>
      </c>
      <c r="G31" s="149">
        <v>100</v>
      </c>
      <c r="H31" s="85">
        <v>100</v>
      </c>
      <c r="I31" s="313">
        <f t="shared" si="5"/>
        <v>104.89999999999999</v>
      </c>
      <c r="J31" s="61">
        <f t="shared" si="3"/>
        <v>70</v>
      </c>
      <c r="K31" s="61" t="s">
        <v>94</v>
      </c>
      <c r="L31" s="61"/>
      <c r="M31" s="149">
        <v>649</v>
      </c>
      <c r="N31" s="151" t="s">
        <v>209</v>
      </c>
      <c r="O31" s="313"/>
      <c r="P31" s="61">
        <v>131</v>
      </c>
      <c r="Q31" s="137" t="s">
        <v>434</v>
      </c>
      <c r="R31" s="149" t="s">
        <v>32</v>
      </c>
      <c r="S31" s="156" t="s">
        <v>32</v>
      </c>
      <c r="T31" s="313"/>
      <c r="U31" s="68" t="s">
        <v>722</v>
      </c>
      <c r="V31" s="61"/>
      <c r="W31" s="61"/>
    </row>
    <row r="32" spans="1:23" ht="15" thickBot="1">
      <c r="A32">
        <f t="shared" si="2"/>
        <v>21</v>
      </c>
      <c r="B32" t="s">
        <v>436</v>
      </c>
      <c r="G32" s="149" t="s">
        <v>32</v>
      </c>
      <c r="H32" s="151" t="s">
        <v>208</v>
      </c>
      <c r="I32" s="313"/>
      <c r="J32" s="61">
        <f t="shared" si="3"/>
        <v>71</v>
      </c>
      <c r="K32" s="118" t="s">
        <v>108</v>
      </c>
      <c r="L32" s="118"/>
      <c r="M32" s="149" t="s">
        <v>208</v>
      </c>
      <c r="N32" s="151" t="s">
        <v>208</v>
      </c>
      <c r="O32" s="313"/>
      <c r="P32" s="61">
        <v>132</v>
      </c>
      <c r="Q32" s="61" t="s">
        <v>437</v>
      </c>
      <c r="R32" s="149">
        <v>4000</v>
      </c>
      <c r="S32" s="86" t="s">
        <v>209</v>
      </c>
      <c r="T32" s="313"/>
      <c r="U32" s="125"/>
      <c r="V32" s="61"/>
      <c r="W32" s="61"/>
    </row>
    <row r="33" spans="1:23" ht="15" thickBot="1">
      <c r="A33">
        <f t="shared" si="2"/>
        <v>22</v>
      </c>
      <c r="B33" t="s">
        <v>76</v>
      </c>
      <c r="G33" s="149" t="s">
        <v>209</v>
      </c>
      <c r="H33" s="150" t="s">
        <v>209</v>
      </c>
      <c r="I33" s="313"/>
      <c r="J33" s="61">
        <f t="shared" si="3"/>
        <v>72</v>
      </c>
      <c r="K33" s="118" t="s">
        <v>110</v>
      </c>
      <c r="L33" s="118"/>
      <c r="M33" s="149" t="s">
        <v>209</v>
      </c>
      <c r="N33" s="151" t="s">
        <v>209</v>
      </c>
      <c r="O33" s="313"/>
      <c r="P33" s="61">
        <v>133</v>
      </c>
      <c r="Q33" s="118" t="s">
        <v>136</v>
      </c>
      <c r="R33" s="149">
        <v>1650</v>
      </c>
      <c r="S33" s="131">
        <v>250</v>
      </c>
      <c r="T33" s="313">
        <f t="shared" si="4"/>
        <v>262.25</v>
      </c>
      <c r="U33" s="61" t="s">
        <v>721</v>
      </c>
      <c r="V33" s="61"/>
      <c r="W33" s="61"/>
    </row>
    <row r="34" spans="1:23" ht="15" thickBot="1">
      <c r="A34">
        <f t="shared" si="2"/>
        <v>23</v>
      </c>
      <c r="B34" s="4" t="s">
        <v>83</v>
      </c>
      <c r="G34" s="149">
        <v>175</v>
      </c>
      <c r="H34" s="85">
        <v>350</v>
      </c>
      <c r="I34" s="313">
        <f t="shared" si="5"/>
        <v>367.15</v>
      </c>
      <c r="J34" s="61">
        <f t="shared" si="3"/>
        <v>73</v>
      </c>
      <c r="K34" s="118" t="s">
        <v>438</v>
      </c>
      <c r="L34" s="118"/>
      <c r="M34" s="149">
        <v>23385</v>
      </c>
      <c r="N34" s="154" t="s">
        <v>209</v>
      </c>
      <c r="O34" s="313"/>
      <c r="P34" s="61" t="s">
        <v>677</v>
      </c>
      <c r="Q34" s="61"/>
      <c r="R34" s="61"/>
      <c r="S34" s="61"/>
      <c r="T34" s="61"/>
      <c r="U34" s="61"/>
      <c r="V34" s="61"/>
      <c r="W34" s="61"/>
    </row>
    <row r="35" spans="1:23" ht="15" thickBot="1">
      <c r="A35">
        <f t="shared" si="2"/>
        <v>24</v>
      </c>
      <c r="B35" s="4" t="s">
        <v>85</v>
      </c>
      <c r="G35" s="149" t="s">
        <v>32</v>
      </c>
      <c r="H35" s="86" t="s">
        <v>32</v>
      </c>
      <c r="I35" s="313"/>
      <c r="J35" s="61">
        <f t="shared" si="3"/>
        <v>74</v>
      </c>
      <c r="K35" s="118" t="s">
        <v>112</v>
      </c>
      <c r="L35" s="118"/>
      <c r="M35" s="149" t="s">
        <v>209</v>
      </c>
      <c r="N35" s="86" t="s">
        <v>209</v>
      </c>
      <c r="O35" s="313"/>
      <c r="P35" s="61"/>
      <c r="Q35" s="61"/>
      <c r="R35" s="61"/>
      <c r="S35" s="61"/>
      <c r="T35" s="61"/>
      <c r="U35" s="61"/>
      <c r="V35" s="61"/>
      <c r="W35" s="61"/>
    </row>
    <row r="36" spans="1:23" ht="15" thickBot="1">
      <c r="A36">
        <f t="shared" si="2"/>
        <v>25</v>
      </c>
      <c r="B36" s="4" t="s">
        <v>87</v>
      </c>
      <c r="G36" s="149" t="s">
        <v>32</v>
      </c>
      <c r="H36" s="86" t="s">
        <v>32</v>
      </c>
      <c r="I36" s="313"/>
      <c r="J36" s="61">
        <f t="shared" si="3"/>
        <v>75</v>
      </c>
      <c r="K36" s="61" t="s">
        <v>114</v>
      </c>
      <c r="L36" s="61"/>
      <c r="M36" s="149">
        <v>4520</v>
      </c>
      <c r="N36" s="85">
        <v>4900</v>
      </c>
      <c r="O36" s="313">
        <f t="shared" si="1"/>
        <v>5140.0999999999995</v>
      </c>
      <c r="P36" s="61"/>
      <c r="Q36" s="61"/>
      <c r="R36" s="61"/>
      <c r="S36" s="61"/>
      <c r="T36" s="61"/>
      <c r="U36" s="61"/>
      <c r="V36" s="61"/>
      <c r="W36" s="61"/>
    </row>
    <row r="37" spans="1:23" ht="15" thickBot="1">
      <c r="A37">
        <f t="shared" si="2"/>
        <v>26</v>
      </c>
      <c r="B37" s="4" t="s">
        <v>89</v>
      </c>
      <c r="G37" s="149" t="s">
        <v>32</v>
      </c>
      <c r="H37" s="86" t="s">
        <v>32</v>
      </c>
      <c r="I37" s="313"/>
      <c r="J37" s="61">
        <f t="shared" si="3"/>
        <v>76</v>
      </c>
      <c r="K37" s="61" t="s">
        <v>116</v>
      </c>
      <c r="L37" s="61"/>
      <c r="M37" s="149">
        <v>6875</v>
      </c>
      <c r="N37" s="85">
        <v>6900</v>
      </c>
      <c r="O37" s="313">
        <f t="shared" si="1"/>
        <v>7238.0999999999995</v>
      </c>
      <c r="P37" s="61"/>
      <c r="Q37" s="61"/>
      <c r="R37" s="61"/>
      <c r="S37" s="61"/>
      <c r="T37" s="61"/>
      <c r="U37" s="61"/>
      <c r="V37" s="61"/>
      <c r="W37" s="61"/>
    </row>
    <row r="38" spans="1:23" ht="15" thickBot="1">
      <c r="A38">
        <f t="shared" si="2"/>
        <v>27</v>
      </c>
      <c r="B38" t="s">
        <v>91</v>
      </c>
      <c r="G38" s="149">
        <v>-200</v>
      </c>
      <c r="H38" s="154">
        <v>-100</v>
      </c>
      <c r="I38" s="313">
        <f t="shared" si="5"/>
        <v>-104.89999999999999</v>
      </c>
      <c r="J38" s="61">
        <f t="shared" si="3"/>
        <v>77</v>
      </c>
      <c r="K38" s="61" t="s">
        <v>118</v>
      </c>
      <c r="L38" s="61"/>
      <c r="M38" s="149">
        <v>9500</v>
      </c>
      <c r="N38" s="85">
        <v>9750</v>
      </c>
      <c r="O38" s="313">
        <f t="shared" si="1"/>
        <v>10227.75</v>
      </c>
      <c r="P38" s="61"/>
      <c r="Q38" s="61"/>
      <c r="R38" s="61"/>
      <c r="S38" s="61"/>
      <c r="T38" s="61"/>
      <c r="U38" s="61"/>
      <c r="V38" s="61"/>
      <c r="W38" s="61"/>
    </row>
    <row r="39" spans="1:23" ht="15" thickBot="1">
      <c r="A39">
        <f t="shared" si="2"/>
        <v>28</v>
      </c>
      <c r="B39" t="s">
        <v>93</v>
      </c>
      <c r="G39" s="149">
        <v>-200</v>
      </c>
      <c r="H39" s="154">
        <v>-100</v>
      </c>
      <c r="I39" s="313">
        <f t="shared" si="5"/>
        <v>-104.89999999999999</v>
      </c>
      <c r="J39" s="61">
        <f t="shared" si="3"/>
        <v>78</v>
      </c>
      <c r="K39" s="61" t="s">
        <v>120</v>
      </c>
      <c r="L39" s="61"/>
      <c r="M39" s="149">
        <v>500</v>
      </c>
      <c r="N39" s="85">
        <v>495</v>
      </c>
      <c r="O39" s="313">
        <f t="shared" si="1"/>
        <v>519.255</v>
      </c>
      <c r="P39" s="61" t="s">
        <v>221</v>
      </c>
      <c r="Q39" s="61"/>
      <c r="R39" s="61"/>
      <c r="S39" s="61"/>
      <c r="T39" s="61"/>
      <c r="U39" s="61"/>
      <c r="V39" s="61"/>
      <c r="W39" s="61"/>
    </row>
    <row r="40" spans="1:23" ht="15" thickBot="1">
      <c r="A40">
        <f t="shared" si="2"/>
        <v>29</v>
      </c>
      <c r="B40" t="s">
        <v>95</v>
      </c>
      <c r="G40" s="149"/>
      <c r="H40" s="86" t="s">
        <v>208</v>
      </c>
      <c r="I40" s="313"/>
      <c r="J40" s="61">
        <f t="shared" si="3"/>
        <v>79</v>
      </c>
      <c r="K40" s="61" t="s">
        <v>122</v>
      </c>
      <c r="L40" s="61"/>
      <c r="M40" s="149">
        <v>3665</v>
      </c>
      <c r="N40" s="85">
        <v>3595</v>
      </c>
      <c r="O40" s="313">
        <f t="shared" si="1"/>
        <v>3771.1549999999997</v>
      </c>
      <c r="P40" s="61"/>
      <c r="Q40" s="61"/>
      <c r="R40" s="61"/>
      <c r="S40" s="61"/>
      <c r="T40" s="61"/>
      <c r="U40" s="61"/>
      <c r="V40" s="61"/>
      <c r="W40" s="61"/>
    </row>
    <row r="41" spans="1:23" ht="15" thickBot="1">
      <c r="A41">
        <f t="shared" si="2"/>
        <v>30</v>
      </c>
      <c r="B41" t="s">
        <v>97</v>
      </c>
      <c r="G41" s="149">
        <v>3174</v>
      </c>
      <c r="H41" s="85">
        <v>3450</v>
      </c>
      <c r="I41" s="313">
        <f t="shared" si="5"/>
        <v>3619.0499999999997</v>
      </c>
      <c r="J41" s="61">
        <f t="shared" si="3"/>
        <v>80</v>
      </c>
      <c r="K41" s="61" t="s">
        <v>124</v>
      </c>
      <c r="L41" s="61"/>
      <c r="M41" s="149">
        <v>4200</v>
      </c>
      <c r="N41" s="85">
        <v>4900</v>
      </c>
      <c r="O41" s="313">
        <f t="shared" si="1"/>
        <v>5140.0999999999995</v>
      </c>
      <c r="P41" s="61"/>
      <c r="Q41" s="61"/>
      <c r="R41" s="61"/>
      <c r="S41" s="61"/>
      <c r="T41" s="61"/>
      <c r="U41" s="61"/>
      <c r="V41" s="61"/>
      <c r="W41" s="61"/>
    </row>
    <row r="42" spans="1:23" ht="15" thickBot="1">
      <c r="A42">
        <f t="shared" si="2"/>
        <v>31</v>
      </c>
      <c r="B42" t="s">
        <v>99</v>
      </c>
      <c r="G42" s="149" t="s">
        <v>32</v>
      </c>
      <c r="H42" s="86" t="s">
        <v>209</v>
      </c>
      <c r="I42" s="313"/>
      <c r="J42" s="61">
        <f>J41+1</f>
        <v>81</v>
      </c>
      <c r="K42" s="61" t="s">
        <v>126</v>
      </c>
      <c r="L42" s="61"/>
      <c r="M42" s="149">
        <v>5450</v>
      </c>
      <c r="N42" s="85">
        <v>5595</v>
      </c>
      <c r="O42" s="313">
        <f t="shared" si="1"/>
        <v>5869.1549999999997</v>
      </c>
      <c r="P42" s="61"/>
      <c r="Q42" s="61"/>
      <c r="R42" s="61"/>
      <c r="S42" s="61"/>
      <c r="T42" s="61"/>
      <c r="U42" s="61"/>
      <c r="V42" s="61"/>
      <c r="W42" s="61"/>
    </row>
    <row r="43" spans="1:23" ht="15" thickBot="1">
      <c r="A43">
        <f t="shared" si="2"/>
        <v>32</v>
      </c>
      <c r="B43" t="s">
        <v>101</v>
      </c>
      <c r="G43" s="149" t="s">
        <v>32</v>
      </c>
      <c r="H43" s="86" t="s">
        <v>209</v>
      </c>
      <c r="I43" s="313"/>
      <c r="J43" s="61">
        <f t="shared" si="3"/>
        <v>82</v>
      </c>
      <c r="K43" s="61" t="s">
        <v>128</v>
      </c>
      <c r="L43" s="61"/>
      <c r="M43" s="149">
        <v>6000</v>
      </c>
      <c r="N43" s="85">
        <v>5675</v>
      </c>
      <c r="O43" s="313">
        <f t="shared" si="1"/>
        <v>5953.0749999999998</v>
      </c>
      <c r="P43" s="61"/>
      <c r="Q43" s="61"/>
      <c r="R43" s="61"/>
      <c r="S43" s="61"/>
      <c r="T43" s="61"/>
      <c r="U43" s="61"/>
      <c r="V43" s="61"/>
      <c r="W43" s="61"/>
    </row>
    <row r="44" spans="1:23" ht="15" thickBot="1">
      <c r="A44">
        <f t="shared" si="2"/>
        <v>33</v>
      </c>
      <c r="B44" t="s">
        <v>167</v>
      </c>
      <c r="G44" s="149">
        <v>2725</v>
      </c>
      <c r="H44" s="151" t="s">
        <v>209</v>
      </c>
      <c r="I44" s="313"/>
      <c r="J44" s="61">
        <f t="shared" si="3"/>
        <v>83</v>
      </c>
      <c r="K44" s="118" t="s">
        <v>136</v>
      </c>
      <c r="L44" s="118"/>
      <c r="M44" s="149">
        <v>795</v>
      </c>
      <c r="N44" s="151" t="s">
        <v>209</v>
      </c>
      <c r="O44" s="313"/>
      <c r="P44" s="61"/>
      <c r="Q44" s="61"/>
      <c r="R44" s="61"/>
      <c r="S44" s="61"/>
      <c r="T44" s="61"/>
      <c r="U44" s="61"/>
      <c r="V44" s="61"/>
      <c r="W44" s="61"/>
    </row>
    <row r="45" spans="1:23" ht="15" thickBot="1">
      <c r="A45">
        <f t="shared" si="2"/>
        <v>34</v>
      </c>
      <c r="B45" t="s">
        <v>439</v>
      </c>
      <c r="G45" s="149" t="s">
        <v>32</v>
      </c>
      <c r="H45" s="151" t="s">
        <v>32</v>
      </c>
      <c r="I45" s="313"/>
      <c r="J45" s="61">
        <f t="shared" si="3"/>
        <v>84</v>
      </c>
      <c r="K45" s="61" t="s">
        <v>440</v>
      </c>
      <c r="L45" s="61"/>
      <c r="M45" s="149">
        <v>4992</v>
      </c>
      <c r="N45" s="151" t="s">
        <v>32</v>
      </c>
      <c r="O45" s="313"/>
      <c r="P45" s="61"/>
      <c r="Q45" s="61"/>
      <c r="R45" s="61"/>
      <c r="S45" s="61"/>
      <c r="T45" s="61"/>
      <c r="U45" s="61"/>
      <c r="V45" s="61"/>
      <c r="W45" s="61"/>
    </row>
    <row r="46" spans="1:23" ht="15" thickBot="1">
      <c r="A46">
        <f t="shared" si="2"/>
        <v>35</v>
      </c>
      <c r="B46" t="s">
        <v>103</v>
      </c>
      <c r="G46" s="149" t="s">
        <v>32</v>
      </c>
      <c r="H46" s="151" t="s">
        <v>209</v>
      </c>
      <c r="I46" s="313"/>
      <c r="J46" s="61">
        <f t="shared" si="3"/>
        <v>85</v>
      </c>
      <c r="K46" s="61" t="s">
        <v>142</v>
      </c>
      <c r="L46" s="61"/>
      <c r="M46" s="149" t="s">
        <v>209</v>
      </c>
      <c r="N46" s="143" t="s">
        <v>209</v>
      </c>
      <c r="O46" s="313"/>
      <c r="P46" s="61"/>
      <c r="Q46" s="61"/>
      <c r="R46" s="61"/>
      <c r="S46" s="61"/>
      <c r="T46" s="61"/>
      <c r="U46" s="61"/>
      <c r="V46" s="61"/>
      <c r="W46" s="61"/>
    </row>
    <row r="47" spans="1:23" ht="15" thickBot="1">
      <c r="A47">
        <f t="shared" si="2"/>
        <v>36</v>
      </c>
      <c r="B47" t="s">
        <v>107</v>
      </c>
      <c r="G47" s="149" t="s">
        <v>32</v>
      </c>
      <c r="H47" s="151" t="s">
        <v>32</v>
      </c>
      <c r="I47" s="313"/>
      <c r="J47" s="61">
        <f t="shared" si="3"/>
        <v>86</v>
      </c>
      <c r="K47" s="61" t="s">
        <v>150</v>
      </c>
      <c r="L47" s="61"/>
      <c r="M47" s="149">
        <v>605</v>
      </c>
      <c r="N47" s="127">
        <v>800</v>
      </c>
      <c r="O47" s="313">
        <f t="shared" si="1"/>
        <v>839.19999999999993</v>
      </c>
      <c r="P47" s="61"/>
      <c r="Q47" s="61"/>
      <c r="R47" s="61"/>
      <c r="S47" s="61"/>
      <c r="T47" s="61"/>
      <c r="U47" s="61"/>
      <c r="V47" s="61"/>
      <c r="W47" s="61"/>
    </row>
    <row r="48" spans="1:23" ht="15" thickBot="1">
      <c r="A48">
        <f t="shared" si="2"/>
        <v>37</v>
      </c>
      <c r="B48" t="s">
        <v>119</v>
      </c>
      <c r="G48" s="149">
        <v>820</v>
      </c>
      <c r="H48" s="85">
        <v>495</v>
      </c>
      <c r="I48" s="313">
        <f t="shared" si="5"/>
        <v>519.255</v>
      </c>
      <c r="J48" s="61">
        <f t="shared" si="3"/>
        <v>87</v>
      </c>
      <c r="K48" s="61" t="s">
        <v>152</v>
      </c>
      <c r="L48" s="61"/>
      <c r="M48" s="149">
        <v>605</v>
      </c>
      <c r="N48" s="127">
        <v>800</v>
      </c>
      <c r="O48" s="313">
        <f t="shared" si="1"/>
        <v>839.19999999999993</v>
      </c>
      <c r="P48" s="61"/>
      <c r="Q48" s="61"/>
      <c r="R48" s="61"/>
      <c r="S48" s="61"/>
      <c r="T48" s="61"/>
      <c r="U48" s="61"/>
      <c r="V48" s="61"/>
      <c r="W48" s="61"/>
    </row>
    <row r="49" spans="1:23" ht="15" thickBot="1">
      <c r="A49">
        <f t="shared" si="2"/>
        <v>38</v>
      </c>
      <c r="B49" t="s">
        <v>121</v>
      </c>
      <c r="G49" s="149">
        <v>30</v>
      </c>
      <c r="H49" s="85">
        <v>75</v>
      </c>
      <c r="I49" s="313">
        <f t="shared" si="5"/>
        <v>78.674999999999997</v>
      </c>
      <c r="J49" s="61">
        <f t="shared" si="3"/>
        <v>88</v>
      </c>
      <c r="K49" s="61" t="s">
        <v>154</v>
      </c>
      <c r="L49" s="61"/>
      <c r="M49" s="149">
        <v>880</v>
      </c>
      <c r="N49" s="127">
        <v>1150</v>
      </c>
      <c r="O49" s="313">
        <f t="shared" si="1"/>
        <v>1206.3499999999999</v>
      </c>
      <c r="P49" s="61"/>
      <c r="Q49" s="61"/>
      <c r="R49" s="61"/>
      <c r="S49" s="61"/>
      <c r="T49" s="61"/>
      <c r="U49" s="61"/>
      <c r="V49" s="61"/>
      <c r="W49" s="61"/>
    </row>
    <row r="50" spans="1:23" ht="15" thickBot="1">
      <c r="A50">
        <f t="shared" si="2"/>
        <v>39</v>
      </c>
      <c r="B50" t="s">
        <v>123</v>
      </c>
      <c r="G50" s="149">
        <v>250</v>
      </c>
      <c r="H50" s="85">
        <v>500</v>
      </c>
      <c r="I50" s="313">
        <f t="shared" si="5"/>
        <v>524.5</v>
      </c>
      <c r="J50" s="61">
        <f t="shared" si="3"/>
        <v>89</v>
      </c>
      <c r="K50" s="61" t="s">
        <v>156</v>
      </c>
      <c r="L50" s="61"/>
      <c r="M50" s="149">
        <v>605</v>
      </c>
      <c r="N50" s="127">
        <v>800</v>
      </c>
      <c r="O50" s="313">
        <f t="shared" si="1"/>
        <v>839.19999999999993</v>
      </c>
      <c r="P50" s="61"/>
      <c r="Q50" s="61"/>
      <c r="R50" s="61"/>
      <c r="S50" s="61"/>
      <c r="T50" s="61"/>
      <c r="U50" s="61"/>
      <c r="V50" s="61"/>
      <c r="W50" s="61"/>
    </row>
    <row r="51" spans="1:23" ht="15" thickBot="1">
      <c r="A51">
        <f t="shared" si="2"/>
        <v>40</v>
      </c>
      <c r="B51" t="s">
        <v>127</v>
      </c>
      <c r="G51" s="149" t="s">
        <v>209</v>
      </c>
      <c r="H51" s="86" t="s">
        <v>209</v>
      </c>
      <c r="I51" s="313"/>
      <c r="J51" s="61">
        <f t="shared" si="3"/>
        <v>90</v>
      </c>
      <c r="K51" s="61" t="s">
        <v>157</v>
      </c>
      <c r="L51" s="61"/>
      <c r="M51" s="149">
        <v>880</v>
      </c>
      <c r="N51" s="127">
        <v>1150</v>
      </c>
      <c r="O51" s="313">
        <f t="shared" si="1"/>
        <v>1206.3499999999999</v>
      </c>
      <c r="P51" s="61"/>
      <c r="Q51" s="61"/>
      <c r="R51" s="61"/>
      <c r="S51" s="61"/>
      <c r="T51" s="61"/>
      <c r="U51" s="61"/>
      <c r="V51" s="61"/>
      <c r="W51" s="61"/>
    </row>
    <row r="52" spans="1:23" ht="15" thickBot="1">
      <c r="A52">
        <f t="shared" si="2"/>
        <v>41</v>
      </c>
      <c r="B52" t="s">
        <v>441</v>
      </c>
      <c r="G52" s="149">
        <v>3450</v>
      </c>
      <c r="H52" s="86" t="s">
        <v>32</v>
      </c>
      <c r="I52" s="313"/>
      <c r="J52" s="61">
        <f t="shared" si="3"/>
        <v>91</v>
      </c>
      <c r="K52" s="61" t="s">
        <v>157</v>
      </c>
      <c r="L52" s="61"/>
      <c r="M52" s="149">
        <v>880</v>
      </c>
      <c r="N52" s="151">
        <v>1150</v>
      </c>
      <c r="O52" s="313">
        <f t="shared" si="1"/>
        <v>1206.3499999999999</v>
      </c>
      <c r="P52" s="61"/>
      <c r="Q52" s="61"/>
      <c r="R52" s="61"/>
      <c r="S52" s="61"/>
      <c r="T52" s="61"/>
      <c r="U52" s="61"/>
      <c r="V52" s="61"/>
      <c r="W52" s="61"/>
    </row>
    <row r="53" spans="1:23" ht="15" thickBot="1">
      <c r="A53">
        <f t="shared" si="2"/>
        <v>42</v>
      </c>
      <c r="B53" s="4" t="s">
        <v>442</v>
      </c>
      <c r="G53" s="149">
        <v>220</v>
      </c>
      <c r="H53" s="86" t="s">
        <v>209</v>
      </c>
      <c r="I53" s="313"/>
      <c r="J53" s="61">
        <f t="shared" si="3"/>
        <v>92</v>
      </c>
      <c r="K53" s="61" t="s">
        <v>158</v>
      </c>
      <c r="L53" s="61"/>
      <c r="M53" s="149">
        <v>1584</v>
      </c>
      <c r="N53" s="85">
        <v>1900</v>
      </c>
      <c r="O53" s="313">
        <f t="shared" si="1"/>
        <v>1993.1</v>
      </c>
      <c r="P53" s="61"/>
      <c r="Q53" s="61"/>
      <c r="R53" s="61"/>
      <c r="S53" s="61"/>
      <c r="T53" s="61"/>
      <c r="U53" s="61"/>
      <c r="V53" s="61"/>
      <c r="W53" s="61"/>
    </row>
    <row r="54" spans="1:23" ht="15" thickBot="1">
      <c r="A54">
        <f t="shared" si="2"/>
        <v>43</v>
      </c>
      <c r="B54" s="4" t="s">
        <v>443</v>
      </c>
      <c r="G54" s="149" t="s">
        <v>208</v>
      </c>
      <c r="H54" s="86" t="s">
        <v>208</v>
      </c>
      <c r="I54" s="313"/>
      <c r="J54" s="61">
        <f t="shared" si="3"/>
        <v>93</v>
      </c>
      <c r="K54" s="61" t="s">
        <v>160</v>
      </c>
      <c r="L54" s="61"/>
      <c r="M54" s="149">
        <v>2266</v>
      </c>
      <c r="N54" s="85">
        <v>2100</v>
      </c>
      <c r="O54" s="313">
        <f t="shared" si="1"/>
        <v>2202.8999999999996</v>
      </c>
      <c r="P54" s="61"/>
      <c r="Q54" s="61"/>
      <c r="R54" s="61"/>
      <c r="S54" s="61"/>
      <c r="T54" s="61"/>
      <c r="U54" s="61"/>
      <c r="V54" s="61"/>
      <c r="W54" s="61"/>
    </row>
    <row r="55" spans="1:23" ht="15" thickBot="1">
      <c r="A55">
        <f t="shared" si="2"/>
        <v>44</v>
      </c>
      <c r="B55" s="4" t="s">
        <v>444</v>
      </c>
      <c r="G55" s="149" t="s">
        <v>209</v>
      </c>
      <c r="H55" s="86" t="s">
        <v>209</v>
      </c>
      <c r="I55" s="313"/>
      <c r="J55" s="61">
        <f t="shared" si="3"/>
        <v>94</v>
      </c>
      <c r="K55" s="61" t="s">
        <v>161</v>
      </c>
      <c r="L55" s="61"/>
      <c r="M55" s="149">
        <v>2453</v>
      </c>
      <c r="N55" s="85">
        <v>2300</v>
      </c>
      <c r="O55" s="313">
        <f t="shared" si="1"/>
        <v>2412.6999999999998</v>
      </c>
      <c r="P55" s="61"/>
      <c r="Q55" s="61"/>
      <c r="R55" s="61"/>
      <c r="S55" s="61"/>
      <c r="T55" s="61"/>
      <c r="U55" s="61"/>
      <c r="V55" s="61"/>
      <c r="W55" s="61"/>
    </row>
    <row r="56" spans="1:23" ht="15" thickBot="1">
      <c r="A56">
        <f t="shared" si="2"/>
        <v>45</v>
      </c>
      <c r="B56" s="4" t="s">
        <v>445</v>
      </c>
      <c r="G56" s="149">
        <v>550</v>
      </c>
      <c r="H56" s="86" t="s">
        <v>32</v>
      </c>
      <c r="I56" s="313"/>
      <c r="J56" s="61">
        <f t="shared" si="3"/>
        <v>95</v>
      </c>
      <c r="K56" s="61" t="s">
        <v>162</v>
      </c>
      <c r="L56" s="61"/>
      <c r="M56" s="149">
        <v>2662</v>
      </c>
      <c r="N56" s="85">
        <v>2400</v>
      </c>
      <c r="O56" s="313">
        <f t="shared" si="1"/>
        <v>2517.6</v>
      </c>
      <c r="P56" s="61"/>
      <c r="Q56" s="61"/>
      <c r="R56" s="61"/>
      <c r="S56" s="61"/>
      <c r="T56" s="61"/>
      <c r="U56" s="61"/>
      <c r="V56" s="61"/>
      <c r="W56" s="61"/>
    </row>
    <row r="57" spans="1:23" ht="15" thickBot="1">
      <c r="A57">
        <f t="shared" si="2"/>
        <v>46</v>
      </c>
      <c r="B57" s="4" t="s">
        <v>446</v>
      </c>
      <c r="G57" s="149" t="s">
        <v>209</v>
      </c>
      <c r="H57" s="86" t="s">
        <v>209</v>
      </c>
      <c r="I57" s="313"/>
      <c r="J57" s="61">
        <f t="shared" si="3"/>
        <v>96</v>
      </c>
      <c r="K57" s="118" t="s">
        <v>100</v>
      </c>
      <c r="L57" s="118"/>
      <c r="M57" s="149">
        <v>4330</v>
      </c>
      <c r="N57" s="85">
        <v>3655</v>
      </c>
      <c r="O57" s="313">
        <f t="shared" si="1"/>
        <v>3834.0949999999998</v>
      </c>
      <c r="P57" s="61"/>
      <c r="Q57" s="61"/>
      <c r="R57" s="61"/>
      <c r="S57" s="61"/>
      <c r="T57" s="61"/>
      <c r="U57" s="61"/>
      <c r="V57" s="61"/>
      <c r="W57" s="61"/>
    </row>
    <row r="58" spans="1:23" ht="15" thickBot="1">
      <c r="A58">
        <f t="shared" si="2"/>
        <v>47</v>
      </c>
      <c r="B58" s="4" t="s">
        <v>447</v>
      </c>
      <c r="G58" s="149">
        <v>350</v>
      </c>
      <c r="H58" s="86" t="s">
        <v>208</v>
      </c>
      <c r="I58" s="313"/>
      <c r="J58" s="61">
        <f t="shared" si="3"/>
        <v>97</v>
      </c>
      <c r="K58" s="118" t="s">
        <v>102</v>
      </c>
      <c r="L58" s="118"/>
      <c r="M58" s="149">
        <v>8284</v>
      </c>
      <c r="N58" s="85">
        <v>7655</v>
      </c>
      <c r="O58" s="313">
        <f t="shared" si="1"/>
        <v>8030.0949999999993</v>
      </c>
      <c r="P58" s="61"/>
      <c r="Q58" s="61"/>
      <c r="R58" s="61"/>
      <c r="S58" s="61"/>
      <c r="T58" s="61"/>
      <c r="U58" s="61"/>
      <c r="V58" s="61"/>
      <c r="W58" s="61"/>
    </row>
    <row r="59" spans="1:23" ht="15" thickBot="1">
      <c r="A59">
        <f t="shared" si="2"/>
        <v>48</v>
      </c>
      <c r="B59" s="4" t="s">
        <v>448</v>
      </c>
      <c r="G59" s="149">
        <v>55</v>
      </c>
      <c r="H59" s="86" t="s">
        <v>32</v>
      </c>
      <c r="I59" s="313"/>
      <c r="J59" s="61">
        <f t="shared" si="3"/>
        <v>98</v>
      </c>
      <c r="K59" s="118" t="s">
        <v>104</v>
      </c>
      <c r="L59" s="118"/>
      <c r="M59" s="149" t="s">
        <v>209</v>
      </c>
      <c r="N59" s="85">
        <v>9300</v>
      </c>
      <c r="O59" s="313">
        <f t="shared" si="1"/>
        <v>9755.6999999999989</v>
      </c>
      <c r="P59" s="61"/>
      <c r="Q59" s="61"/>
      <c r="R59" s="61"/>
      <c r="S59" s="61"/>
      <c r="T59" s="61"/>
      <c r="U59" s="61"/>
      <c r="V59" s="61"/>
      <c r="W59" s="61"/>
    </row>
    <row r="60" spans="1:23" ht="15" thickBot="1">
      <c r="A60">
        <f t="shared" si="2"/>
        <v>49</v>
      </c>
      <c r="B60" s="4" t="s">
        <v>449</v>
      </c>
      <c r="G60" s="149">
        <v>1350</v>
      </c>
      <c r="H60" s="151" t="s">
        <v>208</v>
      </c>
      <c r="I60" s="313"/>
      <c r="J60" s="61">
        <f t="shared" si="3"/>
        <v>99</v>
      </c>
      <c r="K60" s="61" t="s">
        <v>106</v>
      </c>
      <c r="L60" s="61"/>
      <c r="M60" s="149" t="s">
        <v>209</v>
      </c>
      <c r="N60" s="85">
        <v>7140</v>
      </c>
      <c r="O60" s="313">
        <f t="shared" si="1"/>
        <v>7489.86</v>
      </c>
      <c r="P60" s="61"/>
      <c r="Q60" s="61"/>
      <c r="R60" s="61"/>
      <c r="S60" s="61"/>
      <c r="T60" s="61"/>
      <c r="U60" s="61"/>
      <c r="V60" s="61"/>
      <c r="W60" s="61"/>
    </row>
    <row r="61" spans="1:23" ht="15" thickBot="1">
      <c r="A61">
        <f t="shared" si="2"/>
        <v>50</v>
      </c>
      <c r="B61" s="4" t="s">
        <v>450</v>
      </c>
      <c r="G61" s="149">
        <v>165</v>
      </c>
      <c r="H61" s="158" t="s">
        <v>209</v>
      </c>
      <c r="I61" s="313"/>
      <c r="J61" s="61">
        <f t="shared" si="3"/>
        <v>100</v>
      </c>
      <c r="K61" s="118" t="s">
        <v>451</v>
      </c>
      <c r="L61" s="118"/>
      <c r="M61" s="149" t="s">
        <v>209</v>
      </c>
      <c r="N61" s="151" t="s">
        <v>32</v>
      </c>
      <c r="O61" s="313"/>
      <c r="P61" s="61"/>
      <c r="Q61" s="61"/>
      <c r="R61" s="61"/>
      <c r="S61" s="61"/>
      <c r="T61" s="61"/>
      <c r="U61" s="61"/>
      <c r="V61" s="61"/>
      <c r="W61" s="61"/>
    </row>
    <row r="62" spans="1:23" ht="15" thickBot="1">
      <c r="G62" s="61"/>
      <c r="H62" s="125"/>
      <c r="I62" s="61"/>
      <c r="J62" s="61">
        <f t="shared" si="3"/>
        <v>101</v>
      </c>
      <c r="K62" s="118" t="s">
        <v>452</v>
      </c>
      <c r="L62" s="118"/>
      <c r="M62" s="149" t="s">
        <v>209</v>
      </c>
      <c r="N62" s="151" t="s">
        <v>32</v>
      </c>
      <c r="O62" s="313"/>
      <c r="P62" s="61"/>
      <c r="Q62" s="61"/>
      <c r="R62" s="61"/>
      <c r="S62" s="61"/>
      <c r="T62" s="61"/>
      <c r="U62" s="61"/>
      <c r="V62" s="61"/>
      <c r="W62" s="61"/>
    </row>
    <row r="63" spans="1:23" ht="15" thickBot="1">
      <c r="B63" s="4"/>
      <c r="G63" s="61"/>
      <c r="H63" s="61"/>
      <c r="I63" s="61"/>
      <c r="J63" s="61">
        <f t="shared" si="3"/>
        <v>102</v>
      </c>
      <c r="K63" s="61" t="s">
        <v>453</v>
      </c>
      <c r="L63" s="61"/>
      <c r="M63" s="149">
        <v>3174</v>
      </c>
      <c r="N63" s="128">
        <v>3445</v>
      </c>
      <c r="O63" s="313">
        <f>N63*1.049</f>
        <v>3613.8049999999998</v>
      </c>
      <c r="P63" s="61"/>
      <c r="Q63" s="61"/>
      <c r="R63" s="61"/>
      <c r="S63" s="61"/>
      <c r="T63" s="61"/>
      <c r="U63" s="61"/>
      <c r="V63" s="61"/>
      <c r="W63" s="61"/>
    </row>
    <row r="64" spans="1:23">
      <c r="B64" s="3" t="s">
        <v>474</v>
      </c>
      <c r="G64" s="315" t="s">
        <v>1024</v>
      </c>
      <c r="H64" s="313"/>
      <c r="I64" s="313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4"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4" ht="15" thickBot="1">
      <c r="A66" s="7"/>
      <c r="B66" s="41" t="s">
        <v>1</v>
      </c>
      <c r="C66" s="7"/>
      <c r="D66" s="7"/>
      <c r="E66" s="7"/>
      <c r="F66" s="7"/>
      <c r="G66" s="159" t="s">
        <v>454</v>
      </c>
      <c r="H66" s="125"/>
      <c r="I66" s="125"/>
      <c r="J66" s="125" t="s">
        <v>455</v>
      </c>
      <c r="K66" s="160">
        <v>67917.75</v>
      </c>
      <c r="L66" s="64">
        <v>99299.75</v>
      </c>
      <c r="M66" s="313">
        <f t="shared" ref="M66:M67" si="6">L66*1.049</f>
        <v>104165.43775</v>
      </c>
      <c r="N66" s="61"/>
      <c r="O66" s="61"/>
      <c r="P66" s="125"/>
      <c r="Q66" s="125"/>
      <c r="R66" s="125"/>
      <c r="S66" s="125"/>
      <c r="T66" s="125"/>
      <c r="U66" s="61"/>
      <c r="V66" s="61"/>
      <c r="W66" s="61"/>
    </row>
    <row r="67" spans="1:24" ht="15" thickBot="1">
      <c r="A67" s="7"/>
      <c r="B67" s="41" t="s">
        <v>2</v>
      </c>
      <c r="C67" s="7"/>
      <c r="D67" s="7"/>
      <c r="E67" s="7"/>
      <c r="F67" s="7"/>
      <c r="G67" s="159" t="s">
        <v>456</v>
      </c>
      <c r="H67" s="125"/>
      <c r="I67" s="125"/>
      <c r="J67" s="125" t="s">
        <v>398</v>
      </c>
      <c r="K67" s="160">
        <v>86771.75</v>
      </c>
      <c r="L67" s="64">
        <v>127102.75</v>
      </c>
      <c r="M67" s="313">
        <f t="shared" si="6"/>
        <v>133330.78474999999</v>
      </c>
      <c r="N67" s="61"/>
      <c r="O67" s="61"/>
      <c r="P67" s="125"/>
      <c r="Q67" s="125"/>
      <c r="R67" s="125"/>
      <c r="S67" s="125"/>
      <c r="T67" s="125"/>
      <c r="U67" s="61"/>
      <c r="V67" s="61"/>
      <c r="W67" s="61"/>
    </row>
    <row r="68" spans="1:24">
      <c r="A68" s="7"/>
      <c r="B68" s="7"/>
      <c r="C68" s="7"/>
      <c r="D68" s="7"/>
      <c r="E68" s="7"/>
      <c r="F68" s="7"/>
      <c r="G68" s="125"/>
      <c r="H68" s="125"/>
      <c r="I68" s="125"/>
      <c r="J68" s="125"/>
      <c r="K68" s="125"/>
      <c r="L68" s="125"/>
      <c r="M68" s="125"/>
      <c r="N68" s="61"/>
      <c r="O68" s="61"/>
      <c r="P68" s="125"/>
      <c r="Q68" s="125"/>
      <c r="R68" s="125"/>
      <c r="S68" s="125"/>
      <c r="T68" s="125"/>
      <c r="U68" s="61"/>
      <c r="V68" s="61"/>
      <c r="W68" s="61"/>
    </row>
    <row r="69" spans="1:24" ht="15" thickBot="1">
      <c r="A69" s="7"/>
      <c r="B69" s="42" t="s">
        <v>399</v>
      </c>
      <c r="C69" s="7"/>
      <c r="D69" s="7"/>
      <c r="E69" s="7"/>
      <c r="F69" s="41"/>
      <c r="G69" s="159" t="s">
        <v>457</v>
      </c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61"/>
      <c r="V69" s="61"/>
      <c r="W69" s="61"/>
    </row>
    <row r="70" spans="1:24">
      <c r="A70" s="7"/>
      <c r="B70" s="43"/>
      <c r="C70" s="7"/>
      <c r="D70" s="7"/>
      <c r="E70" s="7"/>
      <c r="F70" s="7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61"/>
      <c r="V70" s="61"/>
      <c r="W70" s="61"/>
    </row>
    <row r="71" spans="1:24">
      <c r="A71" s="7"/>
      <c r="B71" s="42" t="s">
        <v>239</v>
      </c>
      <c r="C71" s="7"/>
      <c r="D71" s="7"/>
      <c r="E71" s="7"/>
      <c r="F71" s="7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61"/>
      <c r="V71" s="61"/>
      <c r="W71" s="61"/>
    </row>
    <row r="72" spans="1:24" ht="15" thickBot="1">
      <c r="A72" s="7">
        <v>1</v>
      </c>
      <c r="B72" s="43" t="s">
        <v>401</v>
      </c>
      <c r="C72" s="7"/>
      <c r="D72" s="7"/>
      <c r="E72" s="7"/>
      <c r="F72" s="7"/>
      <c r="G72" s="161">
        <v>1321</v>
      </c>
      <c r="H72" s="72">
        <f>SUM(G72*1.211)</f>
        <v>1599.731</v>
      </c>
      <c r="I72" s="313">
        <f t="shared" ref="I72:I121" si="7">H72*1.049</f>
        <v>1678.1178189999998</v>
      </c>
      <c r="J72" s="125">
        <v>55</v>
      </c>
      <c r="K72" s="162" t="s">
        <v>402</v>
      </c>
      <c r="L72" s="161">
        <v>920</v>
      </c>
      <c r="M72" s="72">
        <f t="shared" ref="M72:M121" si="8">SUM(L72*1.211)</f>
        <v>1114.1200000000001</v>
      </c>
      <c r="N72" s="313">
        <f>M72*1.049</f>
        <v>1168.7118800000001</v>
      </c>
      <c r="O72" s="125">
        <v>112</v>
      </c>
      <c r="P72" s="118" t="s">
        <v>403</v>
      </c>
      <c r="Q72" s="118"/>
      <c r="R72" s="161" t="s">
        <v>32</v>
      </c>
      <c r="S72" s="72" t="s">
        <v>9</v>
      </c>
      <c r="T72" s="313"/>
      <c r="V72" s="61" t="s">
        <v>458</v>
      </c>
      <c r="W72" s="125"/>
      <c r="X72" s="125"/>
    </row>
    <row r="73" spans="1:24" ht="15" thickBot="1">
      <c r="A73" s="7">
        <v>2</v>
      </c>
      <c r="B73" s="43" t="s">
        <v>405</v>
      </c>
      <c r="C73" s="7"/>
      <c r="D73" s="7"/>
      <c r="E73" s="7"/>
      <c r="F73" s="7"/>
      <c r="G73" s="161">
        <v>589.6</v>
      </c>
      <c r="H73" s="72">
        <f>SUM(G73*1.211)</f>
        <v>714.00560000000007</v>
      </c>
      <c r="I73" s="313">
        <f t="shared" si="7"/>
        <v>748.99187440000003</v>
      </c>
      <c r="J73" s="125">
        <v>56</v>
      </c>
      <c r="K73" s="162" t="s">
        <v>406</v>
      </c>
      <c r="L73" s="161">
        <v>988</v>
      </c>
      <c r="M73" s="72">
        <f t="shared" si="8"/>
        <v>1196.4680000000001</v>
      </c>
      <c r="N73" s="313">
        <f t="shared" ref="N73:N121" si="9">M73*1.049</f>
        <v>1255.094932</v>
      </c>
      <c r="O73" s="125">
        <v>113</v>
      </c>
      <c r="P73" s="118" t="s">
        <v>407</v>
      </c>
      <c r="Q73" s="118"/>
      <c r="R73" s="161">
        <v>938</v>
      </c>
      <c r="S73" s="72">
        <f t="shared" ref="S73:S79" si="10">SUM(R73*1.211)</f>
        <v>1135.9180000000001</v>
      </c>
      <c r="T73" s="313">
        <f t="shared" ref="T73:T97" si="11">S73*1.049</f>
        <v>1191.577982</v>
      </c>
      <c r="V73" s="125"/>
      <c r="W73" s="125"/>
      <c r="X73" s="125"/>
    </row>
    <row r="74" spans="1:24" ht="15" thickBot="1">
      <c r="A74" s="7">
        <v>3</v>
      </c>
      <c r="B74" s="43" t="s">
        <v>26</v>
      </c>
      <c r="C74" s="7"/>
      <c r="D74" s="7"/>
      <c r="E74" s="7"/>
      <c r="F74" s="7"/>
      <c r="G74" s="161" t="s">
        <v>32</v>
      </c>
      <c r="H74" s="163" t="s">
        <v>9</v>
      </c>
      <c r="I74" s="313"/>
      <c r="J74" s="125">
        <v>59</v>
      </c>
      <c r="K74" s="162" t="s">
        <v>408</v>
      </c>
      <c r="L74" s="161" t="s">
        <v>32</v>
      </c>
      <c r="M74" s="72" t="s">
        <v>9</v>
      </c>
      <c r="N74" s="313"/>
      <c r="O74" s="125">
        <v>114</v>
      </c>
      <c r="P74" s="118" t="s">
        <v>409</v>
      </c>
      <c r="Q74" s="118"/>
      <c r="R74" s="161">
        <v>125</v>
      </c>
      <c r="S74" s="72">
        <f t="shared" si="10"/>
        <v>151.375</v>
      </c>
      <c r="T74" s="313">
        <f t="shared" si="11"/>
        <v>158.79237499999999</v>
      </c>
      <c r="V74" s="125"/>
      <c r="W74" s="125"/>
      <c r="X74" s="125"/>
    </row>
    <row r="75" spans="1:24" ht="15" thickBot="1">
      <c r="A75" s="7">
        <v>4</v>
      </c>
      <c r="B75" s="43" t="s">
        <v>29</v>
      </c>
      <c r="C75" s="7"/>
      <c r="D75" s="7"/>
      <c r="E75" s="7"/>
      <c r="F75" s="7"/>
      <c r="G75" s="161" t="s">
        <v>32</v>
      </c>
      <c r="H75" s="163" t="s">
        <v>9</v>
      </c>
      <c r="I75" s="313"/>
      <c r="J75" s="125">
        <v>60</v>
      </c>
      <c r="K75" s="162" t="s">
        <v>410</v>
      </c>
      <c r="L75" s="161" t="s">
        <v>32</v>
      </c>
      <c r="M75" s="72" t="s">
        <v>9</v>
      </c>
      <c r="N75" s="313"/>
      <c r="O75" s="125">
        <v>115</v>
      </c>
      <c r="P75" s="118" t="s">
        <v>411</v>
      </c>
      <c r="Q75" s="118"/>
      <c r="R75" s="161">
        <v>79</v>
      </c>
      <c r="S75" s="72">
        <f t="shared" si="10"/>
        <v>95.669000000000011</v>
      </c>
      <c r="T75" s="313">
        <f t="shared" si="11"/>
        <v>100.35678100000001</v>
      </c>
      <c r="V75" s="125" t="s">
        <v>459</v>
      </c>
      <c r="W75" s="125"/>
      <c r="X75" s="125"/>
    </row>
    <row r="76" spans="1:24" ht="15" thickBot="1">
      <c r="A76" s="7">
        <v>5</v>
      </c>
      <c r="B76" s="43" t="s">
        <v>34</v>
      </c>
      <c r="C76" s="7"/>
      <c r="D76" s="7"/>
      <c r="E76" s="7"/>
      <c r="F76" s="7"/>
      <c r="G76" s="161" t="s">
        <v>460</v>
      </c>
      <c r="H76" s="163" t="s">
        <v>57</v>
      </c>
      <c r="I76" s="313"/>
      <c r="J76" s="125">
        <v>61</v>
      </c>
      <c r="K76" s="162" t="s">
        <v>412</v>
      </c>
      <c r="L76" s="161">
        <v>85</v>
      </c>
      <c r="M76" s="72">
        <f t="shared" si="8"/>
        <v>102.935</v>
      </c>
      <c r="N76" s="313">
        <f t="shared" si="9"/>
        <v>107.978815</v>
      </c>
      <c r="O76" s="125">
        <v>116</v>
      </c>
      <c r="P76" s="118" t="s">
        <v>413</v>
      </c>
      <c r="Q76" s="118"/>
      <c r="R76" s="161">
        <v>79</v>
      </c>
      <c r="S76" s="72">
        <f t="shared" si="10"/>
        <v>95.669000000000011</v>
      </c>
      <c r="T76" s="313">
        <f t="shared" si="11"/>
        <v>100.35678100000001</v>
      </c>
      <c r="V76" s="125" t="s">
        <v>461</v>
      </c>
      <c r="W76" s="125"/>
      <c r="X76" s="125"/>
    </row>
    <row r="77" spans="1:24" ht="15" thickBot="1">
      <c r="A77" s="7">
        <v>6</v>
      </c>
      <c r="B77" s="43" t="s">
        <v>37</v>
      </c>
      <c r="C77" s="7"/>
      <c r="D77" s="7"/>
      <c r="E77" s="7"/>
      <c r="F77" s="7"/>
      <c r="G77" s="161" t="s">
        <v>460</v>
      </c>
      <c r="H77" s="163" t="s">
        <v>57</v>
      </c>
      <c r="I77" s="313"/>
      <c r="J77" s="125">
        <v>62</v>
      </c>
      <c r="K77" s="162" t="s">
        <v>414</v>
      </c>
      <c r="L77" s="161">
        <v>480</v>
      </c>
      <c r="M77" s="72">
        <f t="shared" si="8"/>
        <v>581.28000000000009</v>
      </c>
      <c r="N77" s="313">
        <f t="shared" si="9"/>
        <v>609.76272000000006</v>
      </c>
      <c r="O77" s="125">
        <v>117</v>
      </c>
      <c r="P77" s="118" t="s">
        <v>407</v>
      </c>
      <c r="Q77" s="118"/>
      <c r="R77" s="161">
        <v>939</v>
      </c>
      <c r="S77" s="72">
        <f t="shared" si="10"/>
        <v>1137.1290000000001</v>
      </c>
      <c r="T77" s="313">
        <f t="shared" si="11"/>
        <v>1192.8483210000002</v>
      </c>
      <c r="V77" s="125"/>
      <c r="W77" s="125"/>
      <c r="X77" s="125"/>
    </row>
    <row r="78" spans="1:24" ht="15" thickBot="1">
      <c r="A78" s="7">
        <v>7</v>
      </c>
      <c r="B78" s="43" t="s">
        <v>39</v>
      </c>
      <c r="C78" s="7"/>
      <c r="D78" s="7"/>
      <c r="E78" s="7"/>
      <c r="F78" s="7"/>
      <c r="G78" s="161">
        <v>1287.5</v>
      </c>
      <c r="H78" s="72">
        <f t="shared" ref="H78:H121" si="12">SUM(G78*1.211)</f>
        <v>1559.1625000000001</v>
      </c>
      <c r="I78" s="313">
        <f t="shared" si="7"/>
        <v>1635.5614625000001</v>
      </c>
      <c r="J78" s="125">
        <v>63</v>
      </c>
      <c r="K78" s="162" t="s">
        <v>415</v>
      </c>
      <c r="L78" s="161">
        <v>289</v>
      </c>
      <c r="M78" s="72">
        <f t="shared" si="8"/>
        <v>349.97900000000004</v>
      </c>
      <c r="N78" s="313">
        <f t="shared" si="9"/>
        <v>367.127971</v>
      </c>
      <c r="O78" s="125">
        <v>118</v>
      </c>
      <c r="P78" s="118" t="s">
        <v>416</v>
      </c>
      <c r="Q78" s="118"/>
      <c r="R78" s="161">
        <v>491</v>
      </c>
      <c r="S78" s="72">
        <f t="shared" si="10"/>
        <v>594.601</v>
      </c>
      <c r="T78" s="313">
        <f t="shared" si="11"/>
        <v>623.73644899999999</v>
      </c>
      <c r="V78" s="125"/>
      <c r="W78" s="125"/>
      <c r="X78" s="125"/>
    </row>
    <row r="79" spans="1:24" ht="15" thickBot="1">
      <c r="A79" s="7">
        <v>8</v>
      </c>
      <c r="B79" s="43" t="s">
        <v>41</v>
      </c>
      <c r="C79" s="7"/>
      <c r="D79" s="7"/>
      <c r="E79" s="7"/>
      <c r="F79" s="7"/>
      <c r="G79" s="161">
        <v>981.6</v>
      </c>
      <c r="H79" s="72">
        <f t="shared" si="12"/>
        <v>1188.7176000000002</v>
      </c>
      <c r="I79" s="313">
        <f t="shared" si="7"/>
        <v>1246.9647624000002</v>
      </c>
      <c r="J79" s="125">
        <v>64</v>
      </c>
      <c r="K79" s="162" t="s">
        <v>417</v>
      </c>
      <c r="L79" s="161">
        <v>489</v>
      </c>
      <c r="M79" s="72">
        <f t="shared" si="8"/>
        <v>592.17900000000009</v>
      </c>
      <c r="N79" s="313">
        <f t="shared" si="9"/>
        <v>621.19577100000004</v>
      </c>
      <c r="O79" s="125">
        <v>119</v>
      </c>
      <c r="P79" s="118" t="s">
        <v>418</v>
      </c>
      <c r="Q79" s="118"/>
      <c r="R79" s="161">
        <v>1750</v>
      </c>
      <c r="S79" s="72">
        <f t="shared" si="10"/>
        <v>2119.25</v>
      </c>
      <c r="T79" s="313">
        <f t="shared" si="11"/>
        <v>2223.0932499999999</v>
      </c>
      <c r="V79" s="125"/>
      <c r="W79" s="125"/>
      <c r="X79" s="125"/>
    </row>
    <row r="80" spans="1:24" ht="15" thickBot="1">
      <c r="A80" s="7">
        <v>9</v>
      </c>
      <c r="B80" s="43" t="s">
        <v>43</v>
      </c>
      <c r="C80" s="7"/>
      <c r="D80" s="7"/>
      <c r="E80" s="7"/>
      <c r="F80" s="7"/>
      <c r="G80" s="164">
        <v>882</v>
      </c>
      <c r="H80" s="72">
        <f t="shared" si="12"/>
        <v>1068.1020000000001</v>
      </c>
      <c r="I80" s="313">
        <f t="shared" si="7"/>
        <v>1120.4389980000001</v>
      </c>
      <c r="J80" s="125">
        <v>65</v>
      </c>
      <c r="K80" s="162" t="s">
        <v>419</v>
      </c>
      <c r="L80" s="161">
        <v>441</v>
      </c>
      <c r="M80" s="72">
        <f t="shared" si="8"/>
        <v>534.05100000000004</v>
      </c>
      <c r="N80" s="313">
        <f t="shared" si="9"/>
        <v>560.21949900000004</v>
      </c>
      <c r="O80" s="125">
        <v>120</v>
      </c>
      <c r="P80" s="118" t="s">
        <v>420</v>
      </c>
      <c r="Q80" s="118"/>
      <c r="R80" s="161" t="s">
        <v>32</v>
      </c>
      <c r="S80" s="72" t="s">
        <v>9</v>
      </c>
      <c r="T80" s="313"/>
      <c r="V80" s="125"/>
      <c r="W80" s="125"/>
      <c r="X80" s="125"/>
    </row>
    <row r="81" spans="1:24" ht="15" thickBot="1">
      <c r="A81" s="7">
        <v>10</v>
      </c>
      <c r="B81" s="43" t="s">
        <v>45</v>
      </c>
      <c r="C81" s="7"/>
      <c r="D81" s="7"/>
      <c r="E81" s="7"/>
      <c r="F81" s="7"/>
      <c r="G81" s="161">
        <v>-385</v>
      </c>
      <c r="H81" s="72">
        <f t="shared" si="12"/>
        <v>-466.23500000000001</v>
      </c>
      <c r="I81" s="313">
        <f t="shared" si="7"/>
        <v>-489.08051499999999</v>
      </c>
      <c r="J81" s="125">
        <v>66</v>
      </c>
      <c r="K81" s="162" t="s">
        <v>59</v>
      </c>
      <c r="L81" s="161">
        <v>325</v>
      </c>
      <c r="M81" s="72">
        <f t="shared" si="8"/>
        <v>393.57500000000005</v>
      </c>
      <c r="N81" s="313">
        <f t="shared" si="9"/>
        <v>412.86017500000003</v>
      </c>
      <c r="O81" s="165">
        <v>121</v>
      </c>
      <c r="P81" s="165" t="s">
        <v>421</v>
      </c>
      <c r="Q81" s="165"/>
      <c r="R81" s="161" t="s">
        <v>32</v>
      </c>
      <c r="S81" s="72" t="s">
        <v>9</v>
      </c>
      <c r="T81" s="313"/>
      <c r="V81" s="125"/>
      <c r="W81" s="125"/>
      <c r="X81" s="125"/>
    </row>
    <row r="82" spans="1:24" ht="15" thickBot="1">
      <c r="A82" s="7">
        <v>11</v>
      </c>
      <c r="B82" s="43" t="s">
        <v>60</v>
      </c>
      <c r="C82" s="7"/>
      <c r="D82" s="7"/>
      <c r="E82" s="7"/>
      <c r="F82" s="7"/>
      <c r="G82" s="161">
        <v>59.87</v>
      </c>
      <c r="H82" s="72">
        <f t="shared" si="12"/>
        <v>72.502570000000006</v>
      </c>
      <c r="I82" s="313">
        <f t="shared" si="7"/>
        <v>76.055195929999996</v>
      </c>
      <c r="J82" s="125">
        <v>67</v>
      </c>
      <c r="K82" s="162" t="s">
        <v>67</v>
      </c>
      <c r="L82" s="161">
        <v>75</v>
      </c>
      <c r="M82" s="72">
        <f t="shared" si="8"/>
        <v>90.825000000000003</v>
      </c>
      <c r="N82" s="313">
        <f t="shared" si="9"/>
        <v>95.275424999999998</v>
      </c>
      <c r="O82" s="125">
        <v>122</v>
      </c>
      <c r="P82" s="165" t="s">
        <v>422</v>
      </c>
      <c r="Q82" s="165"/>
      <c r="R82" s="161" t="s">
        <v>32</v>
      </c>
      <c r="S82" s="72" t="s">
        <v>9</v>
      </c>
      <c r="T82" s="313"/>
      <c r="V82" s="165"/>
      <c r="W82" s="125"/>
      <c r="X82" s="125"/>
    </row>
    <row r="83" spans="1:24" ht="15" thickBot="1">
      <c r="A83" s="7">
        <v>12</v>
      </c>
      <c r="B83" s="7" t="s">
        <v>62</v>
      </c>
      <c r="C83" s="7"/>
      <c r="D83" s="7"/>
      <c r="E83" s="7"/>
      <c r="F83" s="7"/>
      <c r="G83" s="161">
        <v>44.62</v>
      </c>
      <c r="H83" s="72">
        <f t="shared" si="12"/>
        <v>54.034820000000003</v>
      </c>
      <c r="I83" s="313">
        <f t="shared" si="7"/>
        <v>56.682526179999996</v>
      </c>
      <c r="J83" s="125">
        <v>70</v>
      </c>
      <c r="K83" s="162" t="s">
        <v>69</v>
      </c>
      <c r="L83" s="161" t="s">
        <v>32</v>
      </c>
      <c r="M83" s="72" t="s">
        <v>9</v>
      </c>
      <c r="N83" s="313"/>
      <c r="O83" s="125">
        <v>123</v>
      </c>
      <c r="P83" s="165" t="s">
        <v>423</v>
      </c>
      <c r="Q83" s="165"/>
      <c r="R83" s="161" t="s">
        <v>32</v>
      </c>
      <c r="S83" s="72" t="s">
        <v>9</v>
      </c>
      <c r="T83" s="313"/>
      <c r="V83" s="125"/>
      <c r="W83" s="125"/>
      <c r="X83" s="125"/>
    </row>
    <row r="84" spans="1:24" ht="15" thickBot="1">
      <c r="A84" s="7">
        <v>13</v>
      </c>
      <c r="B84" s="7" t="s">
        <v>64</v>
      </c>
      <c r="C84" s="7"/>
      <c r="D84" s="7"/>
      <c r="E84" s="7"/>
      <c r="F84" s="7"/>
      <c r="G84" s="161">
        <v>83.2</v>
      </c>
      <c r="H84" s="72">
        <f t="shared" si="12"/>
        <v>100.75520000000002</v>
      </c>
      <c r="I84" s="313">
        <f t="shared" si="7"/>
        <v>105.69220480000001</v>
      </c>
      <c r="J84" s="125">
        <v>71</v>
      </c>
      <c r="K84" s="162" t="s">
        <v>71</v>
      </c>
      <c r="L84" s="161" t="s">
        <v>32</v>
      </c>
      <c r="M84" s="72" t="s">
        <v>9</v>
      </c>
      <c r="N84" s="313"/>
      <c r="O84" s="125">
        <v>124</v>
      </c>
      <c r="P84" s="118" t="s">
        <v>31</v>
      </c>
      <c r="Q84" s="118"/>
      <c r="R84" s="161">
        <v>1181.25</v>
      </c>
      <c r="S84" s="72">
        <f>SUM(R84*1.211)</f>
        <v>1430.4937500000001</v>
      </c>
      <c r="T84" s="313">
        <f t="shared" si="11"/>
        <v>1500.58794375</v>
      </c>
      <c r="V84" s="125" t="s">
        <v>462</v>
      </c>
      <c r="W84" s="125"/>
      <c r="X84" s="125"/>
    </row>
    <row r="85" spans="1:24" ht="15" thickBot="1">
      <c r="A85" s="7">
        <v>14</v>
      </c>
      <c r="B85" s="7" t="s">
        <v>66</v>
      </c>
      <c r="C85" s="7"/>
      <c r="D85" s="7"/>
      <c r="E85" s="7"/>
      <c r="F85" s="7"/>
      <c r="G85" s="161">
        <v>85.36</v>
      </c>
      <c r="H85" s="72">
        <f t="shared" si="12"/>
        <v>103.37096000000001</v>
      </c>
      <c r="I85" s="313">
        <f t="shared" si="7"/>
        <v>108.43613704000001</v>
      </c>
      <c r="J85" s="125">
        <v>72</v>
      </c>
      <c r="K85" s="162" t="s">
        <v>75</v>
      </c>
      <c r="L85" s="161" t="s">
        <v>32</v>
      </c>
      <c r="M85" s="72" t="s">
        <v>9</v>
      </c>
      <c r="N85" s="313"/>
      <c r="O85" s="125">
        <v>125</v>
      </c>
      <c r="P85" s="165" t="s">
        <v>36</v>
      </c>
      <c r="Q85" s="165"/>
      <c r="R85" s="161">
        <v>358</v>
      </c>
      <c r="S85" s="72">
        <f>SUM(R85*1.211)</f>
        <v>433.53800000000001</v>
      </c>
      <c r="T85" s="313">
        <f t="shared" si="11"/>
        <v>454.781362</v>
      </c>
      <c r="V85" s="125" t="s">
        <v>462</v>
      </c>
      <c r="W85" s="125"/>
      <c r="X85" s="125"/>
    </row>
    <row r="86" spans="1:24" ht="15" thickBot="1">
      <c r="A86" s="7">
        <v>15</v>
      </c>
      <c r="B86" s="7" t="s">
        <v>426</v>
      </c>
      <c r="C86" s="7"/>
      <c r="D86" s="7"/>
      <c r="E86" s="7"/>
      <c r="F86" s="7"/>
      <c r="G86" s="161">
        <v>497.9</v>
      </c>
      <c r="H86" s="72">
        <f t="shared" si="12"/>
        <v>602.95690000000002</v>
      </c>
      <c r="I86" s="313">
        <f t="shared" si="7"/>
        <v>632.5017881</v>
      </c>
      <c r="J86" s="125">
        <v>74</v>
      </c>
      <c r="K86" s="162" t="s">
        <v>78</v>
      </c>
      <c r="L86" s="161" t="s">
        <v>32</v>
      </c>
      <c r="M86" s="72" t="s">
        <v>9</v>
      </c>
      <c r="N86" s="313"/>
      <c r="O86" s="125">
        <v>126</v>
      </c>
      <c r="P86" s="125" t="s">
        <v>427</v>
      </c>
      <c r="Q86" s="125"/>
      <c r="R86" s="161">
        <v>102.78</v>
      </c>
      <c r="S86" s="72">
        <f>SUM(R86*1.211)</f>
        <v>124.46658000000001</v>
      </c>
      <c r="T86" s="313">
        <f t="shared" si="11"/>
        <v>130.56544242000001</v>
      </c>
      <c r="V86" s="125"/>
      <c r="W86" s="125"/>
      <c r="X86" s="125"/>
    </row>
    <row r="87" spans="1:24" ht="15" thickBot="1">
      <c r="A87" s="7">
        <v>16</v>
      </c>
      <c r="B87" s="7" t="s">
        <v>428</v>
      </c>
      <c r="C87" s="7"/>
      <c r="D87" s="7"/>
      <c r="E87" s="7"/>
      <c r="F87" s="7"/>
      <c r="G87" s="161">
        <v>403</v>
      </c>
      <c r="H87" s="72">
        <f t="shared" si="12"/>
        <v>488.03300000000002</v>
      </c>
      <c r="I87" s="313">
        <f t="shared" si="7"/>
        <v>511.946617</v>
      </c>
      <c r="J87" s="125">
        <v>75</v>
      </c>
      <c r="K87" s="162" t="s">
        <v>82</v>
      </c>
      <c r="L87" s="161">
        <v>40</v>
      </c>
      <c r="M87" s="72">
        <f t="shared" si="8"/>
        <v>48.440000000000005</v>
      </c>
      <c r="N87" s="313">
        <f t="shared" si="9"/>
        <v>50.813560000000003</v>
      </c>
      <c r="O87" s="125">
        <v>127</v>
      </c>
      <c r="P87" s="70" t="s">
        <v>429</v>
      </c>
      <c r="Q87" s="166"/>
      <c r="R87" s="161" t="s">
        <v>32</v>
      </c>
      <c r="S87" s="72" t="s">
        <v>9</v>
      </c>
      <c r="T87" s="313"/>
      <c r="V87" s="68"/>
      <c r="W87" s="68"/>
      <c r="X87" s="125"/>
    </row>
    <row r="88" spans="1:24" ht="15" thickBot="1">
      <c r="A88" s="7">
        <v>17</v>
      </c>
      <c r="B88" s="7" t="s">
        <v>463</v>
      </c>
      <c r="C88" s="7"/>
      <c r="D88" s="7"/>
      <c r="E88" s="7"/>
      <c r="F88" s="7"/>
      <c r="G88" s="161">
        <v>65.7</v>
      </c>
      <c r="H88" s="72">
        <f t="shared" si="12"/>
        <v>79.562700000000007</v>
      </c>
      <c r="I88" s="313">
        <f t="shared" si="7"/>
        <v>83.461272300000005</v>
      </c>
      <c r="J88" s="125">
        <v>77</v>
      </c>
      <c r="K88" s="162" t="s">
        <v>430</v>
      </c>
      <c r="L88" s="161" t="s">
        <v>32</v>
      </c>
      <c r="M88" s="72" t="s">
        <v>9</v>
      </c>
      <c r="N88" s="313"/>
      <c r="O88" s="125">
        <v>128</v>
      </c>
      <c r="P88" s="70" t="s">
        <v>431</v>
      </c>
      <c r="Q88" s="166"/>
      <c r="R88" s="161" t="s">
        <v>32</v>
      </c>
      <c r="S88" s="72" t="s">
        <v>9</v>
      </c>
      <c r="T88" s="313"/>
      <c r="V88" s="68"/>
      <c r="W88" s="68"/>
      <c r="X88" s="125"/>
    </row>
    <row r="89" spans="1:24" ht="15" thickBot="1">
      <c r="A89" s="7">
        <v>18</v>
      </c>
      <c r="B89" s="7" t="s">
        <v>70</v>
      </c>
      <c r="C89" s="7"/>
      <c r="D89" s="7"/>
      <c r="E89" s="7"/>
      <c r="F89" s="7"/>
      <c r="G89" s="161">
        <v>77.7</v>
      </c>
      <c r="H89" s="72">
        <f t="shared" si="12"/>
        <v>94.094700000000003</v>
      </c>
      <c r="I89" s="313">
        <f t="shared" si="7"/>
        <v>98.705340300000003</v>
      </c>
      <c r="J89" s="125">
        <v>79</v>
      </c>
      <c r="K89" s="162" t="s">
        <v>432</v>
      </c>
      <c r="L89" s="161" t="s">
        <v>32</v>
      </c>
      <c r="M89" s="72" t="s">
        <v>9</v>
      </c>
      <c r="N89" s="313"/>
      <c r="O89" s="125">
        <v>129</v>
      </c>
      <c r="P89" s="167" t="s">
        <v>433</v>
      </c>
      <c r="Q89" s="165"/>
      <c r="R89" s="161">
        <v>1377</v>
      </c>
      <c r="S89" s="72">
        <f t="shared" ref="S89:S97" si="13">SUM(R89*1.211)</f>
        <v>1667.547</v>
      </c>
      <c r="T89" s="313">
        <f t="shared" si="11"/>
        <v>1749.256803</v>
      </c>
      <c r="V89" s="68"/>
      <c r="W89" s="68"/>
      <c r="X89" s="125"/>
    </row>
    <row r="90" spans="1:24" ht="15" thickBot="1">
      <c r="A90" s="7">
        <v>19</v>
      </c>
      <c r="B90" s="7" t="s">
        <v>72</v>
      </c>
      <c r="C90" s="7"/>
      <c r="D90" s="7"/>
      <c r="E90" s="7"/>
      <c r="F90" s="7"/>
      <c r="G90" s="161">
        <v>123.5</v>
      </c>
      <c r="H90" s="72">
        <f t="shared" si="12"/>
        <v>149.55850000000001</v>
      </c>
      <c r="I90" s="313">
        <f t="shared" si="7"/>
        <v>156.8868665</v>
      </c>
      <c r="J90" s="125">
        <v>80</v>
      </c>
      <c r="K90" s="125" t="s">
        <v>90</v>
      </c>
      <c r="L90" s="161" t="s">
        <v>32</v>
      </c>
      <c r="M90" s="72" t="s">
        <v>9</v>
      </c>
      <c r="N90" s="313"/>
      <c r="O90" s="125">
        <v>130</v>
      </c>
      <c r="P90" s="167" t="s">
        <v>344</v>
      </c>
      <c r="Q90" s="165"/>
      <c r="R90" s="161">
        <v>79</v>
      </c>
      <c r="S90" s="72">
        <f t="shared" si="13"/>
        <v>95.669000000000011</v>
      </c>
      <c r="T90" s="313">
        <f t="shared" si="11"/>
        <v>100.35678100000001</v>
      </c>
      <c r="V90" s="68" t="s">
        <v>464</v>
      </c>
      <c r="W90" s="68"/>
      <c r="X90" s="125"/>
    </row>
    <row r="91" spans="1:24" ht="15" thickBot="1">
      <c r="A91" s="7">
        <v>20</v>
      </c>
      <c r="B91" s="7" t="s">
        <v>74</v>
      </c>
      <c r="C91" s="7"/>
      <c r="D91" s="7"/>
      <c r="E91" s="7"/>
      <c r="F91" s="7"/>
      <c r="G91" s="161">
        <v>211.25</v>
      </c>
      <c r="H91" s="72">
        <f t="shared" si="12"/>
        <v>255.82375000000002</v>
      </c>
      <c r="I91" s="313">
        <f t="shared" si="7"/>
        <v>268.35911375000001</v>
      </c>
      <c r="J91" s="125">
        <v>81</v>
      </c>
      <c r="K91" s="125" t="s">
        <v>94</v>
      </c>
      <c r="L91" s="161">
        <v>1600</v>
      </c>
      <c r="M91" s="72">
        <f t="shared" si="8"/>
        <v>1937.6000000000001</v>
      </c>
      <c r="N91" s="313">
        <f t="shared" si="9"/>
        <v>2032.5424</v>
      </c>
      <c r="O91" s="125">
        <v>131</v>
      </c>
      <c r="P91" s="137" t="s">
        <v>434</v>
      </c>
      <c r="Q91" s="168"/>
      <c r="R91" s="161" t="s">
        <v>32</v>
      </c>
      <c r="S91" s="72" t="s">
        <v>9</v>
      </c>
      <c r="T91" s="313"/>
      <c r="V91" s="68" t="s">
        <v>435</v>
      </c>
      <c r="W91" s="68"/>
      <c r="X91" s="125"/>
    </row>
    <row r="92" spans="1:24" ht="15" thickBot="1">
      <c r="A92" s="7">
        <v>21</v>
      </c>
      <c r="B92" s="7" t="s">
        <v>436</v>
      </c>
      <c r="C92" s="7"/>
      <c r="D92" s="7"/>
      <c r="E92" s="7"/>
      <c r="F92" s="7"/>
      <c r="G92" s="161">
        <v>305.5</v>
      </c>
      <c r="H92" s="72">
        <f t="shared" si="12"/>
        <v>369.96050000000002</v>
      </c>
      <c r="I92" s="313">
        <f t="shared" si="7"/>
        <v>388.08856450000002</v>
      </c>
      <c r="J92" s="125">
        <v>82</v>
      </c>
      <c r="K92" s="162" t="s">
        <v>108</v>
      </c>
      <c r="L92" s="161" t="s">
        <v>460</v>
      </c>
      <c r="M92" s="72" t="s">
        <v>57</v>
      </c>
      <c r="N92" s="313"/>
      <c r="O92" s="61">
        <v>132</v>
      </c>
      <c r="P92" s="61" t="s">
        <v>465</v>
      </c>
      <c r="Q92" s="61"/>
      <c r="R92" s="84">
        <v>192.4</v>
      </c>
      <c r="S92" s="72">
        <f t="shared" si="13"/>
        <v>232.99640000000002</v>
      </c>
      <c r="T92" s="313">
        <f t="shared" si="11"/>
        <v>244.41322360000001</v>
      </c>
      <c r="V92" s="125"/>
      <c r="W92" s="125"/>
      <c r="X92" s="125"/>
    </row>
    <row r="93" spans="1:24" ht="15" thickBot="1">
      <c r="A93" s="7">
        <v>22</v>
      </c>
      <c r="B93" s="7" t="s">
        <v>76</v>
      </c>
      <c r="C93" s="7"/>
      <c r="D93" s="7"/>
      <c r="E93" s="7"/>
      <c r="F93" s="7"/>
      <c r="G93" s="161" t="s">
        <v>466</v>
      </c>
      <c r="H93" s="72"/>
      <c r="I93" s="313">
        <f t="shared" si="7"/>
        <v>0</v>
      </c>
      <c r="J93" s="125">
        <v>83</v>
      </c>
      <c r="K93" s="162" t="s">
        <v>110</v>
      </c>
      <c r="L93" s="161" t="s">
        <v>32</v>
      </c>
      <c r="M93" s="72" t="s">
        <v>9</v>
      </c>
      <c r="N93" s="313"/>
      <c r="O93" s="61">
        <v>133</v>
      </c>
      <c r="P93" s="61" t="s">
        <v>467</v>
      </c>
      <c r="Q93" s="61"/>
      <c r="R93" s="169">
        <v>88.4</v>
      </c>
      <c r="S93" s="72">
        <f t="shared" si="13"/>
        <v>107.05240000000002</v>
      </c>
      <c r="T93" s="313">
        <f t="shared" si="11"/>
        <v>112.29796760000001</v>
      </c>
      <c r="V93" s="125"/>
      <c r="W93" s="125"/>
      <c r="X93" s="125"/>
    </row>
    <row r="94" spans="1:24" ht="15" thickBot="1">
      <c r="A94" s="7">
        <v>23</v>
      </c>
      <c r="B94" s="43" t="s">
        <v>83</v>
      </c>
      <c r="C94" s="7"/>
      <c r="D94" s="7"/>
      <c r="E94" s="7"/>
      <c r="F94" s="7"/>
      <c r="G94" s="161">
        <v>450</v>
      </c>
      <c r="H94" s="72">
        <f t="shared" si="12"/>
        <v>544.95000000000005</v>
      </c>
      <c r="I94" s="313">
        <f t="shared" si="7"/>
        <v>571.65255000000002</v>
      </c>
      <c r="J94" s="125">
        <v>84</v>
      </c>
      <c r="K94" s="118" t="s">
        <v>438</v>
      </c>
      <c r="L94" s="170" t="s">
        <v>32</v>
      </c>
      <c r="M94" s="72" t="s">
        <v>9</v>
      </c>
      <c r="N94" s="313"/>
      <c r="O94" s="61">
        <v>134</v>
      </c>
      <c r="P94" s="61" t="s">
        <v>468</v>
      </c>
      <c r="Q94" s="61"/>
      <c r="R94" s="169">
        <v>448.5</v>
      </c>
      <c r="S94" s="72">
        <f t="shared" si="13"/>
        <v>543.13350000000003</v>
      </c>
      <c r="T94" s="313">
        <f t="shared" si="11"/>
        <v>569.74704150000002</v>
      </c>
      <c r="V94" s="125"/>
      <c r="W94" s="125"/>
      <c r="X94" s="125"/>
    </row>
    <row r="95" spans="1:24" ht="15" thickBot="1">
      <c r="A95" s="7">
        <v>24</v>
      </c>
      <c r="B95" s="43" t="s">
        <v>85</v>
      </c>
      <c r="C95" s="7"/>
      <c r="D95" s="7"/>
      <c r="E95" s="7"/>
      <c r="F95" s="7"/>
      <c r="G95" s="161">
        <v>535.6</v>
      </c>
      <c r="H95" s="72">
        <f t="shared" si="12"/>
        <v>648.61160000000007</v>
      </c>
      <c r="I95" s="313">
        <f t="shared" si="7"/>
        <v>680.39356840000005</v>
      </c>
      <c r="J95" s="125">
        <v>85</v>
      </c>
      <c r="K95" s="162" t="s">
        <v>112</v>
      </c>
      <c r="L95" s="170">
        <v>75</v>
      </c>
      <c r="M95" s="72">
        <f t="shared" si="8"/>
        <v>90.825000000000003</v>
      </c>
      <c r="N95" s="313">
        <f t="shared" si="9"/>
        <v>95.275424999999998</v>
      </c>
      <c r="O95" s="61">
        <v>135</v>
      </c>
      <c r="P95" s="61" t="s">
        <v>469</v>
      </c>
      <c r="Q95" s="61"/>
      <c r="R95" s="169">
        <v>704.6</v>
      </c>
      <c r="S95" s="72">
        <f t="shared" si="13"/>
        <v>853.27060000000006</v>
      </c>
      <c r="T95" s="313">
        <f t="shared" si="11"/>
        <v>895.08085940000001</v>
      </c>
      <c r="V95" s="125"/>
      <c r="W95" s="125"/>
      <c r="X95" s="125"/>
    </row>
    <row r="96" spans="1:24" ht="15" thickBot="1">
      <c r="A96" s="7">
        <v>25</v>
      </c>
      <c r="B96" s="43" t="s">
        <v>87</v>
      </c>
      <c r="C96" s="7"/>
      <c r="D96" s="7"/>
      <c r="E96" s="7"/>
      <c r="F96" s="7"/>
      <c r="G96" s="161">
        <v>604.5</v>
      </c>
      <c r="H96" s="72">
        <f t="shared" si="12"/>
        <v>732.04950000000008</v>
      </c>
      <c r="I96" s="313">
        <f t="shared" si="7"/>
        <v>767.91992550000009</v>
      </c>
      <c r="J96" s="125">
        <v>86</v>
      </c>
      <c r="K96" s="125" t="s">
        <v>114</v>
      </c>
      <c r="L96" s="170">
        <v>3624</v>
      </c>
      <c r="M96" s="72">
        <f t="shared" si="8"/>
        <v>4388.6640000000007</v>
      </c>
      <c r="N96" s="313">
        <f t="shared" si="9"/>
        <v>4603.7085360000001</v>
      </c>
      <c r="O96" s="61">
        <v>136</v>
      </c>
      <c r="P96" s="61" t="s">
        <v>470</v>
      </c>
      <c r="Q96" s="61"/>
      <c r="R96" s="130">
        <v>5827.2</v>
      </c>
      <c r="S96" s="72">
        <f t="shared" si="13"/>
        <v>7056.7392</v>
      </c>
      <c r="T96" s="313">
        <f t="shared" si="11"/>
        <v>7402.5194207999994</v>
      </c>
      <c r="V96" s="125"/>
      <c r="W96" s="125"/>
      <c r="X96" s="125"/>
    </row>
    <row r="97" spans="1:24" ht="15" thickBot="1">
      <c r="A97" s="7">
        <v>26</v>
      </c>
      <c r="B97" s="43" t="s">
        <v>89</v>
      </c>
      <c r="C97" s="7"/>
      <c r="D97" s="7"/>
      <c r="E97" s="7"/>
      <c r="F97" s="7"/>
      <c r="G97" s="161">
        <v>639.6</v>
      </c>
      <c r="H97" s="72">
        <f t="shared" si="12"/>
        <v>774.55560000000003</v>
      </c>
      <c r="I97" s="313">
        <f t="shared" si="7"/>
        <v>812.50882439999998</v>
      </c>
      <c r="J97" s="125">
        <v>87</v>
      </c>
      <c r="K97" s="125" t="s">
        <v>116</v>
      </c>
      <c r="L97" s="170">
        <v>5032</v>
      </c>
      <c r="M97" s="72">
        <f t="shared" si="8"/>
        <v>6093.7520000000004</v>
      </c>
      <c r="N97" s="313">
        <f t="shared" si="9"/>
        <v>6392.3458479999999</v>
      </c>
      <c r="O97" s="125">
        <v>137</v>
      </c>
      <c r="P97" s="61" t="s">
        <v>471</v>
      </c>
      <c r="Q97" s="61"/>
      <c r="R97" s="171">
        <v>4528</v>
      </c>
      <c r="S97" s="72">
        <f t="shared" si="13"/>
        <v>5483.4080000000004</v>
      </c>
      <c r="T97" s="313">
        <f t="shared" si="11"/>
        <v>5752.0949920000003</v>
      </c>
      <c r="V97" s="125" t="s">
        <v>472</v>
      </c>
      <c r="W97" s="125"/>
      <c r="X97" s="125"/>
    </row>
    <row r="98" spans="1:24" ht="15" thickBot="1">
      <c r="A98" s="7">
        <v>27</v>
      </c>
      <c r="B98" s="7" t="s">
        <v>91</v>
      </c>
      <c r="C98" s="7"/>
      <c r="D98" s="7"/>
      <c r="E98" s="7"/>
      <c r="F98" s="7"/>
      <c r="G98" s="161">
        <v>-295</v>
      </c>
      <c r="H98" s="72">
        <f t="shared" si="12"/>
        <v>-357.245</v>
      </c>
      <c r="I98" s="313">
        <f t="shared" si="7"/>
        <v>-374.75000499999999</v>
      </c>
      <c r="J98" s="125">
        <v>88</v>
      </c>
      <c r="K98" s="125" t="s">
        <v>118</v>
      </c>
      <c r="L98" s="170">
        <v>6675</v>
      </c>
      <c r="M98" s="72">
        <f t="shared" si="8"/>
        <v>8083.4250000000002</v>
      </c>
      <c r="N98" s="313">
        <f t="shared" si="9"/>
        <v>8479.5128249999998</v>
      </c>
      <c r="O98" s="125"/>
      <c r="P98" s="125"/>
      <c r="Q98" s="125"/>
      <c r="R98" s="125"/>
      <c r="S98" s="125"/>
      <c r="T98" s="125"/>
      <c r="U98" s="125"/>
      <c r="V98" s="61"/>
      <c r="W98" s="61"/>
    </row>
    <row r="99" spans="1:24" ht="15" thickBot="1">
      <c r="A99" s="7">
        <v>28</v>
      </c>
      <c r="B99" s="7" t="s">
        <v>93</v>
      </c>
      <c r="C99" s="7"/>
      <c r="D99" s="7"/>
      <c r="E99" s="7"/>
      <c r="F99" s="7"/>
      <c r="G99" s="161">
        <v>-330</v>
      </c>
      <c r="H99" s="72">
        <f t="shared" si="12"/>
        <v>-399.63000000000005</v>
      </c>
      <c r="I99" s="313">
        <f t="shared" si="7"/>
        <v>-419.21187000000003</v>
      </c>
      <c r="J99" s="125">
        <v>89</v>
      </c>
      <c r="K99" s="125" t="s">
        <v>120</v>
      </c>
      <c r="L99" s="170">
        <v>2973</v>
      </c>
      <c r="M99" s="72">
        <f t="shared" si="8"/>
        <v>3600.3030000000003</v>
      </c>
      <c r="N99" s="313">
        <f t="shared" si="9"/>
        <v>3776.7178469999999</v>
      </c>
      <c r="O99" s="125"/>
      <c r="P99" s="125"/>
      <c r="Q99" s="125"/>
      <c r="R99" s="125"/>
      <c r="S99" s="125"/>
      <c r="T99" s="125"/>
      <c r="U99" s="125"/>
      <c r="V99" s="61"/>
      <c r="W99" s="61"/>
    </row>
    <row r="100" spans="1:24" ht="15" thickBot="1">
      <c r="A100" s="7">
        <v>29</v>
      </c>
      <c r="B100" s="7" t="s">
        <v>95</v>
      </c>
      <c r="C100" s="7"/>
      <c r="D100" s="7"/>
      <c r="E100" s="7"/>
      <c r="F100" s="7"/>
      <c r="G100" s="161" t="s">
        <v>32</v>
      </c>
      <c r="H100" s="72" t="s">
        <v>9</v>
      </c>
      <c r="I100" s="313"/>
      <c r="J100" s="125">
        <v>90</v>
      </c>
      <c r="K100" s="125" t="s">
        <v>122</v>
      </c>
      <c r="L100" s="161" t="s">
        <v>466</v>
      </c>
      <c r="M100" s="72"/>
      <c r="N100" s="313">
        <f t="shared" si="9"/>
        <v>0</v>
      </c>
      <c r="O100" s="125"/>
      <c r="P100" s="125"/>
      <c r="Q100" s="125"/>
      <c r="R100" s="125"/>
      <c r="S100" s="125"/>
      <c r="T100" s="125"/>
      <c r="U100" s="125"/>
      <c r="V100" s="61"/>
      <c r="W100" s="61"/>
    </row>
    <row r="101" spans="1:24" ht="15" thickBot="1">
      <c r="A101" s="7">
        <v>30</v>
      </c>
      <c r="B101" s="7" t="s">
        <v>97</v>
      </c>
      <c r="C101" s="7"/>
      <c r="D101" s="7"/>
      <c r="E101" s="7"/>
      <c r="F101" s="7"/>
      <c r="G101" s="161">
        <v>3852</v>
      </c>
      <c r="H101" s="72">
        <f t="shared" si="12"/>
        <v>4664.7719999999999</v>
      </c>
      <c r="I101" s="313">
        <f t="shared" si="7"/>
        <v>4893.3458279999995</v>
      </c>
      <c r="J101" s="125">
        <v>91</v>
      </c>
      <c r="K101" s="125" t="s">
        <v>124</v>
      </c>
      <c r="L101" s="170">
        <v>3624</v>
      </c>
      <c r="M101" s="72">
        <f t="shared" si="8"/>
        <v>4388.6640000000007</v>
      </c>
      <c r="N101" s="313">
        <f t="shared" si="9"/>
        <v>4603.7085360000001</v>
      </c>
      <c r="O101" s="125"/>
      <c r="P101" s="125"/>
      <c r="Q101" s="125"/>
      <c r="R101" s="125"/>
      <c r="S101" s="125"/>
      <c r="T101" s="125"/>
      <c r="U101" s="125"/>
      <c r="V101" s="61"/>
      <c r="W101" s="61"/>
    </row>
    <row r="102" spans="1:24" ht="15" thickBot="1">
      <c r="A102" s="7">
        <v>31</v>
      </c>
      <c r="B102" s="7" t="s">
        <v>99</v>
      </c>
      <c r="C102" s="7"/>
      <c r="D102" s="7"/>
      <c r="E102" s="7"/>
      <c r="F102" s="7"/>
      <c r="G102" s="161">
        <v>469.3</v>
      </c>
      <c r="H102" s="72">
        <f t="shared" si="12"/>
        <v>568.32230000000004</v>
      </c>
      <c r="I102" s="313">
        <f t="shared" si="7"/>
        <v>596.17009270000005</v>
      </c>
      <c r="J102" s="125">
        <v>92</v>
      </c>
      <c r="K102" s="125" t="s">
        <v>126</v>
      </c>
      <c r="L102" s="170">
        <v>4218</v>
      </c>
      <c r="M102" s="72">
        <f t="shared" si="8"/>
        <v>5107.9980000000005</v>
      </c>
      <c r="N102" s="313">
        <f t="shared" si="9"/>
        <v>5358.2899020000004</v>
      </c>
      <c r="O102" s="125"/>
      <c r="P102" s="125"/>
      <c r="Q102" s="125"/>
      <c r="R102" s="125"/>
      <c r="S102" s="125"/>
      <c r="T102" s="125"/>
      <c r="U102" s="125"/>
      <c r="V102" s="61"/>
      <c r="W102" s="61"/>
    </row>
    <row r="103" spans="1:24" ht="15" thickBot="1">
      <c r="A103" s="7">
        <v>32</v>
      </c>
      <c r="B103" s="7" t="s">
        <v>101</v>
      </c>
      <c r="C103" s="7"/>
      <c r="D103" s="7"/>
      <c r="E103" s="7"/>
      <c r="F103" s="7"/>
      <c r="G103" s="161">
        <v>526.5</v>
      </c>
      <c r="H103" s="72">
        <f t="shared" si="12"/>
        <v>637.5915</v>
      </c>
      <c r="I103" s="313">
        <f t="shared" si="7"/>
        <v>668.83348349999994</v>
      </c>
      <c r="J103" s="125">
        <v>93</v>
      </c>
      <c r="K103" s="125" t="s">
        <v>128</v>
      </c>
      <c r="L103" s="170">
        <v>4170</v>
      </c>
      <c r="M103" s="72">
        <f t="shared" si="8"/>
        <v>5049.87</v>
      </c>
      <c r="N103" s="313">
        <f t="shared" si="9"/>
        <v>5297.3136299999996</v>
      </c>
      <c r="O103" s="125"/>
      <c r="P103" s="125"/>
      <c r="Q103" s="125"/>
      <c r="R103" s="125"/>
      <c r="S103" s="125"/>
      <c r="T103" s="125"/>
      <c r="U103" s="125"/>
      <c r="V103" s="61"/>
      <c r="W103" s="61"/>
    </row>
    <row r="104" spans="1:24" ht="15" thickBot="1">
      <c r="A104" s="7">
        <v>33</v>
      </c>
      <c r="B104" s="7" t="s">
        <v>167</v>
      </c>
      <c r="C104" s="7"/>
      <c r="D104" s="7"/>
      <c r="E104" s="7"/>
      <c r="F104" s="7"/>
      <c r="G104" s="161">
        <v>1377</v>
      </c>
      <c r="H104" s="72">
        <f t="shared" si="12"/>
        <v>1667.547</v>
      </c>
      <c r="I104" s="313">
        <f t="shared" si="7"/>
        <v>1749.256803</v>
      </c>
      <c r="J104" s="125">
        <v>94</v>
      </c>
      <c r="K104" s="162" t="s">
        <v>136</v>
      </c>
      <c r="L104" s="170" t="s">
        <v>32</v>
      </c>
      <c r="M104" s="72" t="s">
        <v>9</v>
      </c>
      <c r="N104" s="313"/>
      <c r="O104" s="125"/>
      <c r="P104" s="125"/>
      <c r="Q104" s="125"/>
      <c r="R104" s="125"/>
      <c r="S104" s="125"/>
      <c r="T104" s="125"/>
      <c r="U104" s="125"/>
      <c r="V104" s="61"/>
      <c r="W104" s="61"/>
    </row>
    <row r="105" spans="1:24" ht="15" thickBot="1">
      <c r="A105" s="7">
        <v>34</v>
      </c>
      <c r="B105" s="7" t="s">
        <v>439</v>
      </c>
      <c r="C105" s="7"/>
      <c r="D105" s="7"/>
      <c r="E105" s="7"/>
      <c r="F105" s="7"/>
      <c r="G105" s="161">
        <v>1932</v>
      </c>
      <c r="H105" s="72">
        <f t="shared" si="12"/>
        <v>2339.652</v>
      </c>
      <c r="I105" s="313">
        <f t="shared" si="7"/>
        <v>2454.2949479999997</v>
      </c>
      <c r="J105" s="125">
        <v>95</v>
      </c>
      <c r="K105" s="125" t="s">
        <v>440</v>
      </c>
      <c r="L105" s="170" t="s">
        <v>32</v>
      </c>
      <c r="M105" s="72" t="s">
        <v>9</v>
      </c>
      <c r="N105" s="313"/>
      <c r="O105" s="125"/>
      <c r="P105" s="125"/>
      <c r="Q105" s="125"/>
      <c r="R105" s="125"/>
      <c r="S105" s="125"/>
      <c r="T105" s="125"/>
      <c r="U105" s="125"/>
      <c r="V105" s="61"/>
      <c r="W105" s="61"/>
    </row>
    <row r="106" spans="1:24" ht="15" thickBot="1">
      <c r="A106" s="7">
        <v>35</v>
      </c>
      <c r="B106" s="7" t="s">
        <v>103</v>
      </c>
      <c r="C106" s="7"/>
      <c r="D106" s="7"/>
      <c r="E106" s="7"/>
      <c r="F106" s="7"/>
      <c r="G106" s="170">
        <v>533</v>
      </c>
      <c r="H106" s="72">
        <f t="shared" si="12"/>
        <v>645.46300000000008</v>
      </c>
      <c r="I106" s="313">
        <f t="shared" si="7"/>
        <v>677.090687</v>
      </c>
      <c r="J106" s="125">
        <v>96</v>
      </c>
      <c r="K106" s="125" t="s">
        <v>142</v>
      </c>
      <c r="L106" s="170" t="s">
        <v>32</v>
      </c>
      <c r="M106" s="72" t="s">
        <v>9</v>
      </c>
      <c r="N106" s="313"/>
      <c r="O106" s="125"/>
      <c r="P106" s="125"/>
      <c r="Q106" s="125"/>
      <c r="R106" s="125"/>
      <c r="S106" s="125"/>
      <c r="T106" s="125"/>
      <c r="U106" s="125"/>
      <c r="V106" s="61"/>
      <c r="W106" s="61"/>
    </row>
    <row r="107" spans="1:24" ht="15" thickBot="1">
      <c r="A107" s="7">
        <v>36</v>
      </c>
      <c r="B107" s="7" t="s">
        <v>107</v>
      </c>
      <c r="C107" s="7"/>
      <c r="D107" s="7"/>
      <c r="E107" s="7"/>
      <c r="F107" s="7"/>
      <c r="G107" s="170">
        <v>-450</v>
      </c>
      <c r="H107" s="72">
        <f t="shared" si="12"/>
        <v>-544.95000000000005</v>
      </c>
      <c r="I107" s="313"/>
      <c r="J107" s="125">
        <v>97</v>
      </c>
      <c r="K107" s="125" t="s">
        <v>150</v>
      </c>
      <c r="L107" s="172">
        <v>97.25</v>
      </c>
      <c r="M107" s="72">
        <f t="shared" si="8"/>
        <v>117.76975</v>
      </c>
      <c r="N107" s="313">
        <f t="shared" si="9"/>
        <v>123.54046774999999</v>
      </c>
      <c r="O107" s="125"/>
      <c r="P107" s="125"/>
      <c r="Q107" s="125"/>
      <c r="R107" s="125"/>
      <c r="S107" s="125"/>
      <c r="T107" s="125"/>
      <c r="U107" s="125"/>
      <c r="V107" s="61"/>
      <c r="W107" s="61"/>
    </row>
    <row r="108" spans="1:24" ht="15" thickBot="1">
      <c r="A108" s="7">
        <v>37</v>
      </c>
      <c r="B108" s="7" t="s">
        <v>119</v>
      </c>
      <c r="C108" s="7"/>
      <c r="D108" s="7"/>
      <c r="E108" s="7"/>
      <c r="F108" s="7"/>
      <c r="G108" s="170">
        <v>543.4</v>
      </c>
      <c r="H108" s="72">
        <f t="shared" si="12"/>
        <v>658.05740000000003</v>
      </c>
      <c r="I108" s="313">
        <f t="shared" si="7"/>
        <v>690.30221259999996</v>
      </c>
      <c r="J108" s="125">
        <v>98</v>
      </c>
      <c r="K108" s="125" t="s">
        <v>152</v>
      </c>
      <c r="L108" s="172">
        <v>126.13</v>
      </c>
      <c r="M108" s="72">
        <f t="shared" si="8"/>
        <v>152.74343000000002</v>
      </c>
      <c r="N108" s="313">
        <f t="shared" si="9"/>
        <v>160.22785807</v>
      </c>
      <c r="O108" s="125"/>
      <c r="P108" s="125"/>
      <c r="Q108" s="125"/>
      <c r="R108" s="125"/>
      <c r="S108" s="125"/>
      <c r="T108" s="125"/>
      <c r="U108" s="125"/>
      <c r="V108" s="61"/>
      <c r="W108" s="61"/>
    </row>
    <row r="109" spans="1:24" ht="15" thickBot="1">
      <c r="A109" s="7">
        <v>38</v>
      </c>
      <c r="B109" s="7" t="s">
        <v>121</v>
      </c>
      <c r="C109" s="7"/>
      <c r="D109" s="7"/>
      <c r="E109" s="7"/>
      <c r="F109" s="7"/>
      <c r="G109" s="170">
        <v>124.8</v>
      </c>
      <c r="H109" s="72">
        <f t="shared" si="12"/>
        <v>151.1328</v>
      </c>
      <c r="I109" s="313">
        <f t="shared" si="7"/>
        <v>158.53830719999999</v>
      </c>
      <c r="J109" s="125">
        <v>99</v>
      </c>
      <c r="K109" s="125" t="s">
        <v>154</v>
      </c>
      <c r="L109" s="172">
        <v>385.3</v>
      </c>
      <c r="M109" s="72">
        <f t="shared" si="8"/>
        <v>466.59830000000005</v>
      </c>
      <c r="N109" s="313">
        <f t="shared" si="9"/>
        <v>489.46161670000004</v>
      </c>
      <c r="O109" s="125"/>
      <c r="P109" s="125"/>
      <c r="Q109" s="125"/>
      <c r="R109" s="125"/>
      <c r="S109" s="125"/>
      <c r="T109" s="125"/>
      <c r="U109" s="125"/>
      <c r="V109" s="61"/>
      <c r="W109" s="61"/>
    </row>
    <row r="110" spans="1:24" ht="15" thickBot="1">
      <c r="A110" s="7">
        <v>39</v>
      </c>
      <c r="B110" s="7" t="s">
        <v>123</v>
      </c>
      <c r="C110" s="7"/>
      <c r="D110" s="7"/>
      <c r="E110" s="7"/>
      <c r="F110" s="7"/>
      <c r="G110" s="170">
        <v>273</v>
      </c>
      <c r="H110" s="72">
        <f t="shared" si="12"/>
        <v>330.60300000000001</v>
      </c>
      <c r="I110" s="313">
        <f t="shared" si="7"/>
        <v>346.802547</v>
      </c>
      <c r="J110" s="125">
        <v>100</v>
      </c>
      <c r="K110" s="125" t="s">
        <v>156</v>
      </c>
      <c r="L110" s="172">
        <v>560.37</v>
      </c>
      <c r="M110" s="72">
        <f t="shared" si="8"/>
        <v>678.60807</v>
      </c>
      <c r="N110" s="313">
        <f t="shared" si="9"/>
        <v>711.8598654299999</v>
      </c>
      <c r="O110" s="125"/>
      <c r="P110" s="125"/>
      <c r="Q110" s="125"/>
      <c r="R110" s="125"/>
      <c r="S110" s="125"/>
      <c r="T110" s="125"/>
      <c r="U110" s="125"/>
      <c r="V110" s="61"/>
      <c r="W110" s="61"/>
    </row>
    <row r="111" spans="1:24" ht="15" thickBot="1">
      <c r="A111" s="7">
        <v>40</v>
      </c>
      <c r="B111" s="7" t="s">
        <v>127</v>
      </c>
      <c r="C111" s="7"/>
      <c r="D111" s="7"/>
      <c r="E111" s="7"/>
      <c r="F111" s="7"/>
      <c r="G111" s="170">
        <v>793</v>
      </c>
      <c r="H111" s="72">
        <f t="shared" si="12"/>
        <v>960.32300000000009</v>
      </c>
      <c r="I111" s="313">
        <f t="shared" si="7"/>
        <v>1007.378827</v>
      </c>
      <c r="J111" s="125">
        <v>101</v>
      </c>
      <c r="K111" s="125" t="s">
        <v>157</v>
      </c>
      <c r="L111" s="172">
        <v>769.55</v>
      </c>
      <c r="M111" s="72">
        <f t="shared" si="8"/>
        <v>931.92505000000006</v>
      </c>
      <c r="N111" s="313">
        <f t="shared" si="9"/>
        <v>977.58937745000003</v>
      </c>
      <c r="O111" s="125"/>
      <c r="P111" s="125"/>
      <c r="Q111" s="125"/>
      <c r="R111" s="125"/>
      <c r="S111" s="125"/>
      <c r="T111" s="125"/>
      <c r="U111" s="125"/>
      <c r="V111" s="61"/>
      <c r="W111" s="61"/>
    </row>
    <row r="112" spans="1:24" ht="15" thickBot="1">
      <c r="A112" s="7">
        <v>41</v>
      </c>
      <c r="B112" s="7" t="s">
        <v>441</v>
      </c>
      <c r="C112" s="7"/>
      <c r="D112" s="7"/>
      <c r="E112" s="7"/>
      <c r="F112" s="7"/>
      <c r="G112" s="170" t="s">
        <v>32</v>
      </c>
      <c r="H112" s="72" t="s">
        <v>9</v>
      </c>
      <c r="I112" s="313"/>
      <c r="J112" s="125">
        <v>102</v>
      </c>
      <c r="K112" s="125" t="s">
        <v>157</v>
      </c>
      <c r="L112" s="170">
        <v>1</v>
      </c>
      <c r="M112" s="72">
        <f t="shared" si="8"/>
        <v>1.2110000000000001</v>
      </c>
      <c r="N112" s="313">
        <f t="shared" si="9"/>
        <v>1.2703390000000001</v>
      </c>
      <c r="O112" s="125"/>
      <c r="P112" s="125"/>
      <c r="Q112" s="125"/>
      <c r="R112" s="125"/>
      <c r="S112" s="125"/>
      <c r="T112" s="125"/>
      <c r="U112" s="125"/>
      <c r="V112" s="61"/>
      <c r="W112" s="61"/>
    </row>
    <row r="113" spans="1:23" ht="15" thickBot="1">
      <c r="A113" s="7">
        <v>43</v>
      </c>
      <c r="B113" s="43" t="s">
        <v>442</v>
      </c>
      <c r="C113" s="7"/>
      <c r="D113" s="7"/>
      <c r="E113" s="7"/>
      <c r="F113" s="7"/>
      <c r="G113" s="170">
        <v>379.6</v>
      </c>
      <c r="H113" s="72">
        <f t="shared" si="12"/>
        <v>459.69560000000007</v>
      </c>
      <c r="I113" s="313">
        <f t="shared" si="7"/>
        <v>482.22068440000004</v>
      </c>
      <c r="J113" s="125">
        <v>103</v>
      </c>
      <c r="K113" s="61" t="s">
        <v>158</v>
      </c>
      <c r="L113" s="170">
        <v>1488</v>
      </c>
      <c r="M113" s="72">
        <f t="shared" si="8"/>
        <v>1801.9680000000001</v>
      </c>
      <c r="N113" s="313">
        <f t="shared" si="9"/>
        <v>1890.2644319999999</v>
      </c>
      <c r="O113" s="125"/>
      <c r="P113" s="125"/>
      <c r="Q113" s="125"/>
      <c r="R113" s="125"/>
      <c r="S113" s="125"/>
      <c r="T113" s="125"/>
      <c r="U113" s="125"/>
      <c r="V113" s="61"/>
      <c r="W113" s="61"/>
    </row>
    <row r="114" spans="1:23" ht="15" thickBot="1">
      <c r="A114" s="7">
        <v>45</v>
      </c>
      <c r="B114" s="43" t="s">
        <v>443</v>
      </c>
      <c r="C114" s="7"/>
      <c r="D114" s="7"/>
      <c r="E114" s="7"/>
      <c r="F114" s="7"/>
      <c r="G114" s="170">
        <v>245.7</v>
      </c>
      <c r="H114" s="72">
        <f t="shared" si="12"/>
        <v>297.54270000000002</v>
      </c>
      <c r="I114" s="313">
        <f t="shared" si="7"/>
        <v>312.12229230000003</v>
      </c>
      <c r="J114" s="125">
        <v>104</v>
      </c>
      <c r="K114" s="61" t="s">
        <v>160</v>
      </c>
      <c r="L114" s="170">
        <v>1631.5</v>
      </c>
      <c r="M114" s="72">
        <f t="shared" si="8"/>
        <v>1975.7465000000002</v>
      </c>
      <c r="N114" s="313">
        <f t="shared" si="9"/>
        <v>2072.5580785000002</v>
      </c>
      <c r="O114" s="125"/>
      <c r="P114" s="125"/>
      <c r="Q114" s="125"/>
      <c r="R114" s="125"/>
      <c r="S114" s="125"/>
      <c r="T114" s="125"/>
      <c r="U114" s="125"/>
      <c r="V114" s="61"/>
      <c r="W114" s="61"/>
    </row>
    <row r="115" spans="1:23" ht="15" thickBot="1">
      <c r="A115" s="7">
        <v>46</v>
      </c>
      <c r="B115" s="43" t="s">
        <v>444</v>
      </c>
      <c r="C115" s="7"/>
      <c r="D115" s="7"/>
      <c r="E115" s="7"/>
      <c r="F115" s="7"/>
      <c r="G115" s="170">
        <v>283.39999999999998</v>
      </c>
      <c r="H115" s="72">
        <f t="shared" si="12"/>
        <v>343.19740000000002</v>
      </c>
      <c r="I115" s="313">
        <f t="shared" si="7"/>
        <v>360.01407260000002</v>
      </c>
      <c r="J115" s="125">
        <v>105</v>
      </c>
      <c r="K115" s="61" t="s">
        <v>161</v>
      </c>
      <c r="L115" s="170">
        <v>1739</v>
      </c>
      <c r="M115" s="72">
        <f t="shared" si="8"/>
        <v>2105.9290000000001</v>
      </c>
      <c r="N115" s="313">
        <f t="shared" si="9"/>
        <v>2209.1195210000001</v>
      </c>
      <c r="O115" s="125"/>
      <c r="P115" s="125"/>
      <c r="Q115" s="125"/>
      <c r="R115" s="125"/>
      <c r="S115" s="125"/>
      <c r="T115" s="125"/>
      <c r="U115" s="125"/>
      <c r="V115" s="61"/>
      <c r="W115" s="61"/>
    </row>
    <row r="116" spans="1:23" ht="15" thickBot="1">
      <c r="A116" s="7">
        <v>47</v>
      </c>
      <c r="B116" s="43" t="s">
        <v>445</v>
      </c>
      <c r="C116" s="7"/>
      <c r="D116" s="7"/>
      <c r="E116" s="7"/>
      <c r="F116" s="7"/>
      <c r="G116" s="170">
        <v>383.5</v>
      </c>
      <c r="H116" s="72">
        <f t="shared" si="12"/>
        <v>464.41850000000005</v>
      </c>
      <c r="I116" s="313">
        <f t="shared" si="7"/>
        <v>487.17500649999999</v>
      </c>
      <c r="J116" s="125">
        <v>106</v>
      </c>
      <c r="K116" s="61" t="s">
        <v>162</v>
      </c>
      <c r="L116" s="170">
        <v>1863.33</v>
      </c>
      <c r="M116" s="72">
        <f t="shared" si="8"/>
        <v>2256.4926300000002</v>
      </c>
      <c r="N116" s="313">
        <f t="shared" si="9"/>
        <v>2367.0607688700002</v>
      </c>
      <c r="O116" s="125"/>
      <c r="P116" s="125"/>
      <c r="Q116" s="125"/>
      <c r="R116" s="125"/>
      <c r="S116" s="125"/>
      <c r="T116" s="125"/>
      <c r="U116" s="125"/>
      <c r="V116" s="61"/>
      <c r="W116" s="61"/>
    </row>
    <row r="117" spans="1:23" ht="15" thickBot="1">
      <c r="A117" s="7">
        <v>48</v>
      </c>
      <c r="B117" s="43" t="s">
        <v>446</v>
      </c>
      <c r="C117" s="7"/>
      <c r="D117" s="7"/>
      <c r="E117" s="7"/>
      <c r="F117" s="7"/>
      <c r="G117" s="170">
        <v>1185.5999999999999</v>
      </c>
      <c r="H117" s="72">
        <f t="shared" si="12"/>
        <v>1435.7616</v>
      </c>
      <c r="I117" s="313">
        <f t="shared" si="7"/>
        <v>1506.1139183999999</v>
      </c>
      <c r="J117" s="125">
        <v>107</v>
      </c>
      <c r="K117" s="118" t="s">
        <v>100</v>
      </c>
      <c r="L117" s="161" t="s">
        <v>32</v>
      </c>
      <c r="M117" s="72" t="s">
        <v>9</v>
      </c>
      <c r="N117" s="313"/>
      <c r="O117" s="125"/>
      <c r="P117" s="125"/>
      <c r="Q117" s="125"/>
      <c r="R117" s="125"/>
      <c r="S117" s="125"/>
      <c r="T117" s="125"/>
      <c r="U117" s="125"/>
      <c r="V117" s="61"/>
      <c r="W117" s="61"/>
    </row>
    <row r="118" spans="1:23" ht="15" thickBot="1">
      <c r="A118" s="7">
        <v>49</v>
      </c>
      <c r="B118" s="43" t="s">
        <v>447</v>
      </c>
      <c r="C118" s="7"/>
      <c r="D118" s="7"/>
      <c r="E118" s="7"/>
      <c r="F118" s="7"/>
      <c r="G118" s="170">
        <v>443.3</v>
      </c>
      <c r="H118" s="72">
        <f t="shared" si="12"/>
        <v>536.83630000000005</v>
      </c>
      <c r="I118" s="313">
        <f t="shared" si="7"/>
        <v>563.14127870000004</v>
      </c>
      <c r="J118" s="125">
        <v>108</v>
      </c>
      <c r="K118" s="118" t="s">
        <v>102</v>
      </c>
      <c r="L118" s="161" t="s">
        <v>32</v>
      </c>
      <c r="M118" s="72" t="s">
        <v>9</v>
      </c>
      <c r="N118" s="313"/>
      <c r="O118" s="125"/>
      <c r="P118" s="125"/>
      <c r="Q118" s="125"/>
      <c r="R118" s="125"/>
      <c r="S118" s="125"/>
      <c r="T118" s="125"/>
      <c r="U118" s="125"/>
      <c r="V118" s="61"/>
      <c r="W118" s="61"/>
    </row>
    <row r="119" spans="1:23" ht="15" thickBot="1">
      <c r="A119" s="7">
        <v>50</v>
      </c>
      <c r="B119" s="43" t="s">
        <v>448</v>
      </c>
      <c r="C119" s="7"/>
      <c r="D119" s="7"/>
      <c r="E119" s="7"/>
      <c r="F119" s="7"/>
      <c r="G119" s="170">
        <v>184.6</v>
      </c>
      <c r="H119" s="72">
        <f t="shared" si="12"/>
        <v>223.5506</v>
      </c>
      <c r="I119" s="313">
        <f t="shared" si="7"/>
        <v>234.50457939999998</v>
      </c>
      <c r="J119" s="125">
        <v>109</v>
      </c>
      <c r="K119" s="118" t="s">
        <v>104</v>
      </c>
      <c r="L119" s="161" t="s">
        <v>32</v>
      </c>
      <c r="M119" s="72" t="s">
        <v>9</v>
      </c>
      <c r="N119" s="313"/>
      <c r="O119" s="125"/>
      <c r="P119" s="125"/>
      <c r="Q119" s="125"/>
      <c r="R119" s="125"/>
      <c r="S119" s="125"/>
      <c r="T119" s="125"/>
      <c r="U119" s="125"/>
      <c r="V119" s="61"/>
      <c r="W119" s="61"/>
    </row>
    <row r="120" spans="1:23" ht="15" thickBot="1">
      <c r="A120" s="7">
        <v>51</v>
      </c>
      <c r="B120" s="43" t="s">
        <v>449</v>
      </c>
      <c r="C120" s="7"/>
      <c r="D120" s="7"/>
      <c r="E120" s="7"/>
      <c r="F120" s="7"/>
      <c r="G120" s="170" t="s">
        <v>32</v>
      </c>
      <c r="H120" s="72" t="s">
        <v>9</v>
      </c>
      <c r="I120" s="313"/>
      <c r="J120" s="125">
        <v>110</v>
      </c>
      <c r="K120" s="61" t="s">
        <v>106</v>
      </c>
      <c r="L120" s="161" t="s">
        <v>32</v>
      </c>
      <c r="M120" s="72" t="s">
        <v>9</v>
      </c>
      <c r="N120" s="313"/>
      <c r="O120" s="125"/>
      <c r="P120" s="125"/>
      <c r="Q120" s="125"/>
      <c r="R120" s="125"/>
      <c r="S120" s="125"/>
      <c r="T120" s="125"/>
      <c r="U120" s="125"/>
      <c r="V120" s="61"/>
      <c r="W120" s="61"/>
    </row>
    <row r="121" spans="1:23" ht="15" thickBot="1">
      <c r="A121" s="7">
        <v>52</v>
      </c>
      <c r="B121" s="43" t="s">
        <v>450</v>
      </c>
      <c r="C121" s="7"/>
      <c r="D121" s="7"/>
      <c r="E121" s="7"/>
      <c r="F121" s="7"/>
      <c r="G121" s="173">
        <v>210.6</v>
      </c>
      <c r="H121" s="72">
        <f t="shared" si="12"/>
        <v>255.03660000000002</v>
      </c>
      <c r="I121" s="313">
        <f t="shared" si="7"/>
        <v>267.53339340000002</v>
      </c>
      <c r="J121" s="125">
        <v>111</v>
      </c>
      <c r="K121" s="118" t="s">
        <v>451</v>
      </c>
      <c r="L121" s="161">
        <v>523</v>
      </c>
      <c r="M121" s="72">
        <f t="shared" si="8"/>
        <v>633.35300000000007</v>
      </c>
      <c r="N121" s="313">
        <f t="shared" si="9"/>
        <v>664.38729699999999</v>
      </c>
      <c r="O121" s="125"/>
      <c r="P121" s="125"/>
      <c r="Q121" s="125"/>
      <c r="R121" s="125"/>
      <c r="S121" s="125"/>
      <c r="T121" s="125"/>
      <c r="U121" s="125"/>
      <c r="V121" s="61"/>
      <c r="W121" s="61"/>
    </row>
    <row r="122" spans="1:23" ht="15" thickBot="1">
      <c r="A122" s="7">
        <v>53</v>
      </c>
      <c r="B122" s="7"/>
      <c r="C122" s="7"/>
      <c r="D122" s="7"/>
      <c r="E122" s="7"/>
      <c r="F122" s="7"/>
      <c r="G122" s="170"/>
      <c r="H122" s="174"/>
      <c r="J122" s="125">
        <v>112</v>
      </c>
      <c r="K122" s="118" t="s">
        <v>452</v>
      </c>
      <c r="L122" s="161" t="s">
        <v>32</v>
      </c>
      <c r="M122" s="72" t="s">
        <v>9</v>
      </c>
      <c r="N122" s="313"/>
      <c r="O122" s="125"/>
      <c r="P122" s="125"/>
      <c r="Q122" s="125"/>
      <c r="R122" s="125"/>
      <c r="S122" s="125"/>
      <c r="T122" s="125"/>
      <c r="U122" s="125"/>
      <c r="V122" s="61"/>
      <c r="W122" s="61"/>
    </row>
    <row r="123" spans="1:23">
      <c r="A123" s="7"/>
      <c r="B123" s="43"/>
      <c r="C123" s="7"/>
      <c r="D123" s="7"/>
      <c r="E123" s="7"/>
      <c r="F123" s="7"/>
      <c r="G123" s="125"/>
      <c r="H123" s="125"/>
      <c r="I123" s="125">
        <v>113</v>
      </c>
      <c r="J123" s="125" t="s">
        <v>473</v>
      </c>
      <c r="K123" s="61" t="s">
        <v>32</v>
      </c>
      <c r="L123" s="61"/>
      <c r="M123" s="125"/>
      <c r="N123" s="125"/>
      <c r="O123" s="125"/>
      <c r="P123" s="125"/>
      <c r="Q123" s="125"/>
      <c r="R123" s="125"/>
      <c r="S123" s="125"/>
      <c r="T123" s="125"/>
      <c r="U123" s="61"/>
      <c r="V123" s="61"/>
      <c r="W123" s="61"/>
    </row>
    <row r="124" spans="1:23"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</row>
    <row r="125" spans="1:23"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</row>
    <row r="126" spans="1:23"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</row>
    <row r="127" spans="1:23"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3"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</row>
    <row r="129" spans="7:23"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</row>
    <row r="130" spans="7:23"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</row>
    <row r="131" spans="7:23"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</row>
    <row r="132" spans="7:23"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</row>
    <row r="133" spans="7:23"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</row>
    <row r="134" spans="7:23"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</row>
    <row r="135" spans="7:23"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</row>
    <row r="136" spans="7:23"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</row>
    <row r="137" spans="7:23"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</row>
    <row r="138" spans="7:23"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</row>
    <row r="139" spans="7:23"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</row>
    <row r="140" spans="7:23"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</row>
    <row r="141" spans="7:23"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</row>
    <row r="142" spans="7:23"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</row>
    <row r="143" spans="7:23"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</row>
    <row r="144" spans="7:23"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</row>
    <row r="145" spans="7:23"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</row>
    <row r="146" spans="7:23"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</row>
    <row r="147" spans="7:23"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7:23"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7:23"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</row>
    <row r="150" spans="7:23"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</row>
    <row r="151" spans="7:23"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</row>
    <row r="152" spans="7:23"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</row>
    <row r="153" spans="7:23"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</row>
    <row r="154" spans="7:23"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</row>
    <row r="155" spans="7:23"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</row>
    <row r="156" spans="7:23"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</row>
    <row r="157" spans="7:23"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</row>
    <row r="158" spans="7:23"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</row>
    <row r="159" spans="7:23"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</row>
    <row r="160" spans="7:23"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</row>
    <row r="161" spans="7:23"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</row>
    <row r="162" spans="7:23"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</row>
    <row r="163" spans="7:23"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</row>
    <row r="164" spans="7:23"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</row>
    <row r="165" spans="7:23"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</row>
    <row r="166" spans="7:23"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</row>
    <row r="167" spans="7:23"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</row>
    <row r="168" spans="7:23"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</row>
    <row r="169" spans="7:23"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</row>
    <row r="170" spans="7:23"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</row>
    <row r="171" spans="7:23"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</row>
    <row r="172" spans="7:23"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</row>
    <row r="173" spans="7:23"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</row>
    <row r="174" spans="7:23"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</row>
    <row r="175" spans="7:23"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</row>
    <row r="176" spans="7:23"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</row>
    <row r="177" spans="7:23"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</row>
    <row r="178" spans="7:23"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</row>
    <row r="179" spans="7:23"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</row>
    <row r="180" spans="7:23"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</row>
    <row r="181" spans="7:23"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</row>
    <row r="182" spans="7:23"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</row>
  </sheetData>
  <sheetProtection algorithmName="SHA-512" hashValue="72+MBJ3NMZpnLkct3bxs6Pn+y+kZHQqcODVzS0gwRD7/l0REANtGDh90z3U8PXE4q8gmywMQkVlKP2bRyPRHSA==" saltValue="MIRoMEJzvCRyqYjIeg0uNg==" spinCount="100000" sheet="1" objects="1" scenarios="1"/>
  <pageMargins left="0.7" right="0.7" top="0.75" bottom="0.75" header="0.3" footer="0.3"/>
  <pageSetup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69A3-A62A-47DF-B92F-9DD25CEB1DEB}">
  <dimension ref="A2:P282"/>
  <sheetViews>
    <sheetView topLeftCell="A97" workbookViewId="0">
      <selection activeCell="E17" sqref="E17:G17"/>
    </sheetView>
  </sheetViews>
  <sheetFormatPr defaultRowHeight="14.4"/>
  <cols>
    <col min="7" max="7" width="17.6640625" bestFit="1" customWidth="1"/>
    <col min="8" max="8" width="16.109375" customWidth="1"/>
  </cols>
  <sheetData>
    <row r="2" spans="2:16">
      <c r="G2" s="1" t="s">
        <v>476</v>
      </c>
      <c r="I2" s="20" t="s">
        <v>730</v>
      </c>
      <c r="J2" s="48"/>
      <c r="K2" s="48"/>
      <c r="L2" s="48"/>
      <c r="M2" s="48"/>
      <c r="N2" s="48"/>
      <c r="O2" s="48"/>
      <c r="P2" s="48"/>
    </row>
    <row r="3" spans="2:16">
      <c r="I3" s="20" t="s">
        <v>731</v>
      </c>
      <c r="J3" s="48"/>
      <c r="K3" s="48"/>
      <c r="L3" s="48"/>
      <c r="M3" s="48"/>
      <c r="N3" s="48"/>
      <c r="O3" s="48"/>
      <c r="P3" s="48"/>
    </row>
    <row r="5" spans="2:16">
      <c r="B5" s="1" t="s">
        <v>477</v>
      </c>
    </row>
    <row r="6" spans="2:16">
      <c r="I6" s="316" t="s">
        <v>891</v>
      </c>
      <c r="J6" s="312"/>
      <c r="K6" s="312"/>
      <c r="L6" s="312"/>
    </row>
    <row r="7" spans="2:16" ht="15" thickBot="1">
      <c r="B7" s="1" t="s">
        <v>1</v>
      </c>
      <c r="G7" s="2" t="s">
        <v>478</v>
      </c>
    </row>
    <row r="9" spans="2:16" ht="15" thickBot="1">
      <c r="B9" s="1" t="s">
        <v>2</v>
      </c>
      <c r="G9" s="2" t="s">
        <v>528</v>
      </c>
      <c r="H9" s="1"/>
    </row>
    <row r="10" spans="2:16">
      <c r="H10" s="1" t="s">
        <v>742</v>
      </c>
      <c r="I10" s="1"/>
    </row>
    <row r="11" spans="2:16" ht="15" thickBot="1">
      <c r="B11" s="3" t="s">
        <v>479</v>
      </c>
      <c r="E11" s="61"/>
      <c r="F11" s="61"/>
      <c r="G11" s="84">
        <v>48410</v>
      </c>
      <c r="H11" s="175" t="s">
        <v>743</v>
      </c>
      <c r="I11" s="64"/>
      <c r="J11" s="61"/>
      <c r="K11" s="61"/>
      <c r="L11" s="61"/>
    </row>
    <row r="12" spans="2:16">
      <c r="B12" s="4"/>
      <c r="E12" s="61"/>
      <c r="F12" s="61"/>
      <c r="G12" s="61"/>
      <c r="H12" s="175"/>
      <c r="I12" s="61"/>
      <c r="J12" s="61"/>
      <c r="K12" s="61"/>
      <c r="L12" s="61"/>
    </row>
    <row r="13" spans="2:16" ht="15" thickBot="1">
      <c r="B13" s="3" t="s">
        <v>480</v>
      </c>
      <c r="E13" s="61"/>
      <c r="F13" s="61"/>
      <c r="G13" s="84">
        <v>51020</v>
      </c>
      <c r="H13" s="175">
        <f>57515+7806</f>
        <v>65321</v>
      </c>
      <c r="I13" s="313">
        <f>H13*1.049+2317</f>
        <v>70838.728999999992</v>
      </c>
      <c r="J13" s="61"/>
      <c r="K13" s="61"/>
      <c r="L13" s="61"/>
    </row>
    <row r="14" spans="2:16">
      <c r="B14" s="4"/>
      <c r="E14" s="61"/>
      <c r="F14" s="61"/>
      <c r="G14" s="61"/>
      <c r="H14" s="175"/>
      <c r="I14" s="61"/>
      <c r="J14" s="61"/>
      <c r="K14" s="61"/>
      <c r="L14" s="61"/>
    </row>
    <row r="15" spans="2:16" ht="15" thickBot="1">
      <c r="B15" s="3" t="s">
        <v>481</v>
      </c>
      <c r="E15" s="61"/>
      <c r="F15" s="61"/>
      <c r="G15" s="84">
        <v>57962</v>
      </c>
      <c r="H15" s="175">
        <f>64854+8236</f>
        <v>73090</v>
      </c>
      <c r="I15" s="313">
        <f>H15*1.049+2088</f>
        <v>78759.409999999989</v>
      </c>
      <c r="J15" s="61"/>
      <c r="K15" s="61"/>
      <c r="L15" s="61"/>
    </row>
    <row r="16" spans="2:16">
      <c r="B16" s="4"/>
      <c r="E16" s="61"/>
      <c r="F16" s="61"/>
      <c r="G16" s="61"/>
      <c r="H16" s="64"/>
      <c r="I16" s="61"/>
      <c r="J16" s="61"/>
      <c r="K16" s="61"/>
      <c r="L16" s="61"/>
    </row>
    <row r="17" spans="1:12">
      <c r="B17" s="3" t="s">
        <v>239</v>
      </c>
      <c r="E17" s="375" t="s">
        <v>482</v>
      </c>
      <c r="F17" s="375"/>
      <c r="G17" s="375"/>
      <c r="H17" s="64"/>
      <c r="I17" s="61"/>
      <c r="J17" s="61"/>
      <c r="K17" s="61"/>
      <c r="L17" s="61"/>
    </row>
    <row r="18" spans="1:12">
      <c r="B18" s="4"/>
      <c r="E18" s="61"/>
      <c r="F18" s="61"/>
      <c r="G18" s="61"/>
      <c r="H18" s="64"/>
      <c r="I18" s="61"/>
      <c r="J18" s="61"/>
      <c r="K18" s="61"/>
      <c r="L18" s="61"/>
    </row>
    <row r="19" spans="1:12" ht="15" thickBot="1">
      <c r="A19">
        <v>1</v>
      </c>
      <c r="B19" s="4" t="s">
        <v>483</v>
      </c>
      <c r="E19" s="61"/>
      <c r="F19" s="61"/>
      <c r="G19" s="112" t="s">
        <v>32</v>
      </c>
      <c r="H19" s="20" t="s">
        <v>9</v>
      </c>
      <c r="I19" s="61"/>
      <c r="J19" s="61"/>
      <c r="K19" s="61"/>
      <c r="L19" s="61"/>
    </row>
    <row r="20" spans="1:12" ht="15" thickBot="1">
      <c r="B20" s="4" t="s">
        <v>484</v>
      </c>
      <c r="E20" s="61"/>
      <c r="F20" s="61"/>
      <c r="G20" s="84">
        <v>8594</v>
      </c>
      <c r="H20" s="202">
        <f>SUM( G20*1.175)</f>
        <v>10097.950000000001</v>
      </c>
      <c r="I20" s="313">
        <f t="shared" ref="I20:I21" si="0">H20*1.049</f>
        <v>10592.74955</v>
      </c>
      <c r="J20" s="61"/>
      <c r="K20" s="61"/>
      <c r="L20" s="61"/>
    </row>
    <row r="21" spans="1:12" ht="15" thickBot="1">
      <c r="B21" s="4" t="s">
        <v>485</v>
      </c>
      <c r="E21" s="61"/>
      <c r="F21" s="61"/>
      <c r="G21" s="84">
        <v>8547</v>
      </c>
      <c r="H21" s="202">
        <f>SUM( G21*1.175)</f>
        <v>10042.725</v>
      </c>
      <c r="I21" s="313">
        <f t="shared" si="0"/>
        <v>10534.818525000001</v>
      </c>
      <c r="J21" s="61"/>
      <c r="K21" s="61"/>
      <c r="L21" s="61"/>
    </row>
    <row r="22" spans="1:12" ht="15" thickBot="1">
      <c r="A22">
        <f>A19+1</f>
        <v>2</v>
      </c>
      <c r="B22" s="4" t="s">
        <v>486</v>
      </c>
      <c r="E22" s="61"/>
      <c r="F22" s="61"/>
      <c r="G22" s="112" t="s">
        <v>32</v>
      </c>
      <c r="H22" s="97" t="s">
        <v>9</v>
      </c>
      <c r="I22" s="61"/>
      <c r="J22" s="61"/>
      <c r="K22" s="61"/>
      <c r="L22" s="61"/>
    </row>
    <row r="23" spans="1:12" ht="15" thickBot="1">
      <c r="A23">
        <f t="shared" ref="A23:A76" si="1">A22+1</f>
        <v>3</v>
      </c>
      <c r="B23" s="4" t="s">
        <v>488</v>
      </c>
      <c r="E23" s="61"/>
      <c r="F23" s="61"/>
      <c r="G23" s="112" t="s">
        <v>489</v>
      </c>
      <c r="H23" s="97" t="s">
        <v>699</v>
      </c>
      <c r="I23" s="61"/>
      <c r="J23" s="61"/>
      <c r="K23" s="61"/>
      <c r="L23" s="61"/>
    </row>
    <row r="24" spans="1:12" ht="15" thickBot="1">
      <c r="A24">
        <f t="shared" si="1"/>
        <v>4</v>
      </c>
      <c r="B24" s="7" t="s">
        <v>490</v>
      </c>
      <c r="E24" s="61"/>
      <c r="F24" s="61"/>
      <c r="G24" s="112" t="s">
        <v>32</v>
      </c>
      <c r="H24" s="97" t="s">
        <v>9</v>
      </c>
      <c r="I24" s="61"/>
      <c r="J24" s="61"/>
      <c r="K24" s="61"/>
      <c r="L24" s="61"/>
    </row>
    <row r="25" spans="1:12" ht="15" thickBot="1">
      <c r="B25" s="7" t="s">
        <v>491</v>
      </c>
      <c r="E25" s="61"/>
      <c r="F25" s="61"/>
      <c r="G25" s="84">
        <v>2881</v>
      </c>
      <c r="H25" s="97">
        <f>SUM( G25*1.13)</f>
        <v>3255.5299999999997</v>
      </c>
      <c r="I25" s="313">
        <f t="shared" ref="I25:I83" si="2">H25*1.049</f>
        <v>3415.0509699999993</v>
      </c>
      <c r="J25" s="61"/>
      <c r="K25" s="61"/>
      <c r="L25" s="61"/>
    </row>
    <row r="26" spans="1:12" ht="15" thickBot="1">
      <c r="B26" s="7" t="s">
        <v>492</v>
      </c>
      <c r="E26" s="61"/>
      <c r="F26" s="61"/>
      <c r="G26" s="84">
        <v>2881</v>
      </c>
      <c r="H26" s="97">
        <f t="shared" ref="H26:H33" si="3">SUM( G26*1.13)</f>
        <v>3255.5299999999997</v>
      </c>
      <c r="I26" s="313">
        <f t="shared" si="2"/>
        <v>3415.0509699999993</v>
      </c>
      <c r="J26" s="61"/>
      <c r="K26" s="61"/>
      <c r="L26" s="61"/>
    </row>
    <row r="27" spans="1:12" ht="15" thickBot="1">
      <c r="B27" s="7" t="s">
        <v>493</v>
      </c>
      <c r="E27" s="61"/>
      <c r="F27" s="61"/>
      <c r="G27" s="84">
        <v>1731</v>
      </c>
      <c r="H27" s="97">
        <f t="shared" si="3"/>
        <v>1956.0299999999997</v>
      </c>
      <c r="I27" s="313">
        <f t="shared" si="2"/>
        <v>2051.8754699999995</v>
      </c>
      <c r="J27" s="61"/>
      <c r="K27" s="61"/>
      <c r="L27" s="61"/>
    </row>
    <row r="28" spans="1:12" ht="15" thickBot="1">
      <c r="A28">
        <f>A24+1</f>
        <v>5</v>
      </c>
      <c r="B28" s="4" t="s">
        <v>494</v>
      </c>
      <c r="E28" s="61"/>
      <c r="F28" s="61"/>
      <c r="G28" s="84">
        <v>9854</v>
      </c>
      <c r="H28" s="97">
        <f t="shared" si="3"/>
        <v>11135.019999999999</v>
      </c>
      <c r="I28" s="313">
        <f t="shared" si="2"/>
        <v>11680.635979999997</v>
      </c>
      <c r="J28" s="61"/>
      <c r="K28" s="61"/>
      <c r="L28" s="61"/>
    </row>
    <row r="29" spans="1:12" ht="15" thickBot="1">
      <c r="B29" s="4" t="s">
        <v>495</v>
      </c>
      <c r="E29" s="61"/>
      <c r="F29" s="61"/>
      <c r="G29" s="169">
        <v>10028</v>
      </c>
      <c r="H29" s="97">
        <f t="shared" si="3"/>
        <v>11331.64</v>
      </c>
      <c r="I29" s="313">
        <f t="shared" si="2"/>
        <v>11886.890359999999</v>
      </c>
      <c r="J29" s="61"/>
      <c r="K29" s="61"/>
      <c r="L29" s="61"/>
    </row>
    <row r="30" spans="1:12" ht="15" thickBot="1">
      <c r="B30" s="4" t="s">
        <v>496</v>
      </c>
      <c r="E30" s="61"/>
      <c r="F30" s="61"/>
      <c r="G30" s="169">
        <v>11865</v>
      </c>
      <c r="H30" s="97">
        <f>SUM( G30*1.13)</f>
        <v>13407.449999999999</v>
      </c>
      <c r="I30" s="313">
        <f t="shared" si="2"/>
        <v>14064.415049999998</v>
      </c>
      <c r="J30" s="61"/>
      <c r="K30" s="61"/>
      <c r="L30" s="61"/>
    </row>
    <row r="31" spans="1:12" ht="15" thickBot="1">
      <c r="A31">
        <f>A28+1</f>
        <v>6</v>
      </c>
      <c r="B31" s="4" t="s">
        <v>497</v>
      </c>
      <c r="E31" s="61"/>
      <c r="F31" s="61"/>
      <c r="G31" s="169">
        <v>4596</v>
      </c>
      <c r="H31" s="97">
        <f t="shared" si="3"/>
        <v>5193.4799999999996</v>
      </c>
      <c r="I31" s="313">
        <f t="shared" si="2"/>
        <v>5447.9605199999996</v>
      </c>
      <c r="J31" s="61"/>
      <c r="K31" s="61"/>
      <c r="L31" s="61"/>
    </row>
    <row r="32" spans="1:12" ht="15" thickBot="1">
      <c r="B32" s="4" t="s">
        <v>498</v>
      </c>
      <c r="E32" s="61"/>
      <c r="F32" s="61"/>
      <c r="G32" s="176">
        <v>4596</v>
      </c>
      <c r="H32" s="97">
        <f t="shared" si="3"/>
        <v>5193.4799999999996</v>
      </c>
      <c r="I32" s="313">
        <f t="shared" si="2"/>
        <v>5447.9605199999996</v>
      </c>
      <c r="J32" s="61"/>
      <c r="K32" s="61"/>
      <c r="L32" s="61"/>
    </row>
    <row r="33" spans="1:12" ht="15" thickBot="1">
      <c r="B33" s="4" t="s">
        <v>499</v>
      </c>
      <c r="E33" s="61"/>
      <c r="F33" s="61"/>
      <c r="G33" s="121">
        <v>5214</v>
      </c>
      <c r="H33" s="97">
        <f t="shared" si="3"/>
        <v>5891.82</v>
      </c>
      <c r="I33" s="313">
        <f t="shared" si="2"/>
        <v>6180.5191799999993</v>
      </c>
      <c r="J33" s="61"/>
      <c r="K33" s="61"/>
      <c r="L33" s="61"/>
    </row>
    <row r="34" spans="1:12" ht="15" thickBot="1">
      <c r="A34">
        <f>A31+1</f>
        <v>7</v>
      </c>
      <c r="B34" s="4" t="s">
        <v>500</v>
      </c>
      <c r="E34" s="61"/>
      <c r="F34" s="61"/>
      <c r="G34" s="112" t="s">
        <v>489</v>
      </c>
      <c r="H34" s="97" t="s">
        <v>699</v>
      </c>
      <c r="I34" s="313"/>
      <c r="J34" s="61"/>
      <c r="K34" s="61"/>
      <c r="L34" s="61"/>
    </row>
    <row r="35" spans="1:12" ht="15" thickBot="1">
      <c r="A35">
        <f t="shared" si="1"/>
        <v>8</v>
      </c>
      <c r="B35" s="4" t="s">
        <v>501</v>
      </c>
      <c r="E35" s="61"/>
      <c r="F35" s="61"/>
      <c r="G35" s="84">
        <v>535</v>
      </c>
      <c r="H35" s="97">
        <f>SUM( G35*1.13)</f>
        <v>604.54999999999995</v>
      </c>
      <c r="I35" s="313">
        <f t="shared" si="2"/>
        <v>634.1729499999999</v>
      </c>
      <c r="J35" s="61"/>
      <c r="K35" s="61"/>
      <c r="L35" s="61"/>
    </row>
    <row r="36" spans="1:12" ht="15" thickBot="1">
      <c r="A36">
        <f t="shared" si="1"/>
        <v>9</v>
      </c>
      <c r="B36" s="4" t="s">
        <v>502</v>
      </c>
      <c r="E36" s="61"/>
      <c r="F36" s="61"/>
      <c r="G36" s="84">
        <v>8165</v>
      </c>
      <c r="H36" s="97">
        <f>SUM( G36*1.13)</f>
        <v>9226.4499999999989</v>
      </c>
      <c r="I36" s="313">
        <f t="shared" si="2"/>
        <v>9678.546049999999</v>
      </c>
      <c r="J36" s="61"/>
      <c r="K36" s="61"/>
      <c r="L36" s="61"/>
    </row>
    <row r="37" spans="1:12" ht="15" thickBot="1">
      <c r="A37">
        <f t="shared" si="1"/>
        <v>10</v>
      </c>
      <c r="B37" s="4" t="s">
        <v>503</v>
      </c>
      <c r="E37" s="61"/>
      <c r="F37" s="61"/>
      <c r="G37" s="112" t="s">
        <v>489</v>
      </c>
      <c r="H37" s="97" t="s">
        <v>699</v>
      </c>
      <c r="I37" s="313"/>
      <c r="J37" s="61"/>
      <c r="K37" s="61"/>
      <c r="L37" s="61"/>
    </row>
    <row r="38" spans="1:12" ht="15" thickBot="1">
      <c r="A38">
        <f t="shared" si="1"/>
        <v>11</v>
      </c>
      <c r="B38" s="4" t="s">
        <v>504</v>
      </c>
      <c r="E38" s="61"/>
      <c r="F38" s="61"/>
      <c r="G38" s="112" t="s">
        <v>32</v>
      </c>
      <c r="H38" s="97" t="s">
        <v>9</v>
      </c>
      <c r="I38" s="313"/>
      <c r="J38" s="61"/>
      <c r="K38" s="61"/>
      <c r="L38" s="61"/>
    </row>
    <row r="39" spans="1:12" ht="15" thickBot="1">
      <c r="A39">
        <f t="shared" si="1"/>
        <v>12</v>
      </c>
      <c r="B39" s="4" t="s">
        <v>34</v>
      </c>
      <c r="E39" s="61"/>
      <c r="F39" s="61"/>
      <c r="G39" s="84">
        <v>741</v>
      </c>
      <c r="H39" s="97">
        <f t="shared" ref="H39:H45" si="4">SUM( G39*1.13)</f>
        <v>837.32999999999993</v>
      </c>
      <c r="I39" s="313">
        <f t="shared" si="2"/>
        <v>878.35916999999984</v>
      </c>
      <c r="J39" s="61"/>
      <c r="K39" s="61"/>
      <c r="L39" s="61"/>
    </row>
    <row r="40" spans="1:12" ht="15" thickBot="1">
      <c r="A40">
        <f t="shared" si="1"/>
        <v>13</v>
      </c>
      <c r="B40" s="4" t="s">
        <v>37</v>
      </c>
      <c r="E40" s="61"/>
      <c r="F40" s="61"/>
      <c r="G40" s="84">
        <v>1003</v>
      </c>
      <c r="H40" s="97">
        <f t="shared" si="4"/>
        <v>1133.3899999999999</v>
      </c>
      <c r="I40" s="313">
        <f t="shared" si="2"/>
        <v>1188.9261099999999</v>
      </c>
      <c r="J40" s="61"/>
      <c r="K40" s="61"/>
      <c r="L40" s="61"/>
    </row>
    <row r="41" spans="1:12" ht="15" thickBot="1">
      <c r="A41">
        <f t="shared" si="1"/>
        <v>14</v>
      </c>
      <c r="B41" s="4" t="s">
        <v>39</v>
      </c>
      <c r="E41" s="61"/>
      <c r="F41" s="61"/>
      <c r="G41" s="84">
        <v>1482</v>
      </c>
      <c r="H41" s="97">
        <f t="shared" si="4"/>
        <v>1674.6599999999999</v>
      </c>
      <c r="I41" s="313">
        <f t="shared" si="2"/>
        <v>1756.7183399999997</v>
      </c>
      <c r="J41" s="61"/>
      <c r="K41" s="61"/>
      <c r="L41" s="61"/>
    </row>
    <row r="42" spans="1:12" ht="15" thickBot="1">
      <c r="A42">
        <f t="shared" si="1"/>
        <v>15</v>
      </c>
      <c r="B42" s="4" t="s">
        <v>505</v>
      </c>
      <c r="E42" s="61"/>
      <c r="F42" s="61"/>
      <c r="G42" s="112" t="s">
        <v>32</v>
      </c>
      <c r="H42" s="97" t="s">
        <v>9</v>
      </c>
      <c r="I42" s="313"/>
      <c r="J42" s="61"/>
      <c r="K42" s="61"/>
      <c r="L42" s="61"/>
    </row>
    <row r="43" spans="1:12" ht="15" thickBot="1">
      <c r="A43">
        <f t="shared" si="1"/>
        <v>16</v>
      </c>
      <c r="B43" s="4" t="s">
        <v>506</v>
      </c>
      <c r="E43" s="61"/>
      <c r="F43" s="61"/>
      <c r="G43" s="84">
        <v>76</v>
      </c>
      <c r="H43" s="97">
        <f t="shared" si="4"/>
        <v>85.88</v>
      </c>
      <c r="I43" s="313">
        <f t="shared" si="2"/>
        <v>90.088119999999989</v>
      </c>
      <c r="J43" s="61"/>
      <c r="K43" s="61"/>
      <c r="L43" s="61"/>
    </row>
    <row r="44" spans="1:12" ht="15" thickBot="1">
      <c r="A44">
        <f t="shared" si="1"/>
        <v>17</v>
      </c>
      <c r="B44" s="4" t="s">
        <v>507</v>
      </c>
      <c r="E44" s="61"/>
      <c r="F44" s="61"/>
      <c r="G44" s="84">
        <v>14</v>
      </c>
      <c r="H44" s="97">
        <f t="shared" si="4"/>
        <v>15.819999999999999</v>
      </c>
      <c r="I44" s="313">
        <f t="shared" si="2"/>
        <v>16.595179999999996</v>
      </c>
      <c r="J44" s="61"/>
      <c r="K44" s="61"/>
      <c r="L44" s="61"/>
    </row>
    <row r="45" spans="1:12" ht="15" thickBot="1">
      <c r="A45">
        <f t="shared" si="1"/>
        <v>18</v>
      </c>
      <c r="B45" t="s">
        <v>70</v>
      </c>
      <c r="E45" s="61"/>
      <c r="F45" s="61"/>
      <c r="G45" s="84">
        <v>132</v>
      </c>
      <c r="H45" s="97">
        <f t="shared" si="4"/>
        <v>149.16</v>
      </c>
      <c r="I45" s="313">
        <f t="shared" si="2"/>
        <v>156.46884</v>
      </c>
      <c r="J45" s="61"/>
      <c r="K45" s="61"/>
      <c r="L45" s="61"/>
    </row>
    <row r="46" spans="1:12" ht="15" thickBot="1">
      <c r="A46">
        <f t="shared" si="1"/>
        <v>19</v>
      </c>
      <c r="B46" t="s">
        <v>72</v>
      </c>
      <c r="E46" s="61"/>
      <c r="F46" s="61"/>
      <c r="G46" s="112" t="s">
        <v>508</v>
      </c>
      <c r="H46" s="97">
        <f>SUM(178* 1.13)</f>
        <v>201.14</v>
      </c>
      <c r="I46" s="313">
        <f t="shared" si="2"/>
        <v>210.99585999999996</v>
      </c>
      <c r="J46" s="61"/>
      <c r="K46" s="61"/>
      <c r="L46" s="61"/>
    </row>
    <row r="47" spans="1:12" ht="15" thickBot="1">
      <c r="A47">
        <f t="shared" si="1"/>
        <v>20</v>
      </c>
      <c r="B47" t="s">
        <v>74</v>
      </c>
      <c r="E47" s="61"/>
      <c r="F47" s="61"/>
      <c r="G47" s="112" t="s">
        <v>509</v>
      </c>
      <c r="H47" s="97">
        <f>SUM(75*1.13)</f>
        <v>84.749999999999986</v>
      </c>
      <c r="I47" s="313">
        <f t="shared" si="2"/>
        <v>88.902749999999983</v>
      </c>
      <c r="J47" s="61"/>
      <c r="K47" s="61"/>
      <c r="L47" s="61"/>
    </row>
    <row r="48" spans="1:12" ht="15" thickBot="1">
      <c r="A48">
        <f t="shared" si="1"/>
        <v>21</v>
      </c>
      <c r="B48" t="s">
        <v>76</v>
      </c>
      <c r="E48" s="61"/>
      <c r="F48" s="61"/>
      <c r="G48" s="84">
        <v>685</v>
      </c>
      <c r="H48" s="97">
        <f>SUM( G48*1.13)</f>
        <v>774.05</v>
      </c>
      <c r="I48" s="313">
        <f t="shared" si="2"/>
        <v>811.97844999999995</v>
      </c>
      <c r="J48" s="61"/>
      <c r="K48" s="61"/>
      <c r="L48" s="61"/>
    </row>
    <row r="49" spans="1:12" ht="15" thickBot="1">
      <c r="A49">
        <f t="shared" si="1"/>
        <v>22</v>
      </c>
      <c r="B49" t="s">
        <v>510</v>
      </c>
      <c r="E49" s="61"/>
      <c r="F49" s="61"/>
      <c r="G49" s="84">
        <v>1941</v>
      </c>
      <c r="H49" s="97">
        <f>SUM( G49*1.13)</f>
        <v>2193.33</v>
      </c>
      <c r="I49" s="313">
        <f t="shared" si="2"/>
        <v>2300.8031699999997</v>
      </c>
      <c r="J49" s="61"/>
      <c r="K49" s="61"/>
      <c r="L49" s="61"/>
    </row>
    <row r="50" spans="1:12" ht="15" thickBot="1">
      <c r="A50">
        <f t="shared" si="1"/>
        <v>23</v>
      </c>
      <c r="B50" t="s">
        <v>91</v>
      </c>
      <c r="E50" s="61"/>
      <c r="F50" s="61"/>
      <c r="G50" s="84">
        <v>-125</v>
      </c>
      <c r="H50" s="97">
        <f>SUM( G50*1.13)</f>
        <v>-141.25</v>
      </c>
      <c r="I50" s="313">
        <f t="shared" si="2"/>
        <v>-148.17124999999999</v>
      </c>
      <c r="J50" s="61"/>
      <c r="K50" s="61"/>
      <c r="L50" s="61"/>
    </row>
    <row r="51" spans="1:12" ht="15" thickBot="1">
      <c r="A51">
        <f t="shared" si="1"/>
        <v>24</v>
      </c>
      <c r="B51" t="s">
        <v>93</v>
      </c>
      <c r="E51" s="61"/>
      <c r="F51" s="61"/>
      <c r="G51" s="84">
        <v>-125</v>
      </c>
      <c r="H51" s="97">
        <f>SUM( G51*1.13)</f>
        <v>-141.25</v>
      </c>
      <c r="I51" s="313">
        <f t="shared" si="2"/>
        <v>-148.17124999999999</v>
      </c>
      <c r="J51" s="61"/>
      <c r="K51" s="61"/>
      <c r="L51" s="61"/>
    </row>
    <row r="52" spans="1:12" ht="15" thickBot="1">
      <c r="A52">
        <f t="shared" si="1"/>
        <v>25</v>
      </c>
      <c r="B52" t="s">
        <v>99</v>
      </c>
      <c r="E52" s="61"/>
      <c r="F52" s="61"/>
      <c r="G52" s="112" t="s">
        <v>32</v>
      </c>
      <c r="H52" s="97" t="s">
        <v>9</v>
      </c>
      <c r="I52" s="313"/>
      <c r="J52" s="61"/>
      <c r="K52" s="61"/>
      <c r="L52" s="61"/>
    </row>
    <row r="53" spans="1:12" ht="15" thickBot="1">
      <c r="A53">
        <f t="shared" si="1"/>
        <v>26</v>
      </c>
      <c r="B53" t="s">
        <v>101</v>
      </c>
      <c r="E53" s="61"/>
      <c r="F53" s="61"/>
      <c r="G53" s="119" t="s">
        <v>32</v>
      </c>
      <c r="H53" s="97" t="s">
        <v>9</v>
      </c>
      <c r="I53" s="313"/>
      <c r="J53" s="61"/>
      <c r="K53" s="61"/>
      <c r="L53" s="61"/>
    </row>
    <row r="54" spans="1:12" ht="15" thickBot="1">
      <c r="A54">
        <f t="shared" si="1"/>
        <v>27</v>
      </c>
      <c r="B54" t="s">
        <v>114</v>
      </c>
      <c r="E54" s="61"/>
      <c r="F54" s="61"/>
      <c r="G54" s="119">
        <v>3241.85</v>
      </c>
      <c r="H54" s="97">
        <f t="shared" ref="H54:H61" si="5">SUM( G54*1.13)</f>
        <v>3663.2904999999996</v>
      </c>
      <c r="I54" s="313">
        <f t="shared" si="2"/>
        <v>3842.7917344999992</v>
      </c>
      <c r="J54" s="61"/>
      <c r="K54" s="61"/>
      <c r="L54" s="61"/>
    </row>
    <row r="55" spans="1:12" ht="15" thickBot="1">
      <c r="A55">
        <f t="shared" si="1"/>
        <v>28</v>
      </c>
      <c r="B55" t="s">
        <v>116</v>
      </c>
      <c r="E55" s="61"/>
      <c r="F55" s="61"/>
      <c r="G55" s="119">
        <v>4595.3999999999996</v>
      </c>
      <c r="H55" s="97">
        <f t="shared" si="5"/>
        <v>5192.8019999999988</v>
      </c>
      <c r="I55" s="313">
        <f t="shared" si="2"/>
        <v>5447.2492979999979</v>
      </c>
      <c r="J55" s="61"/>
      <c r="K55" s="61"/>
      <c r="L55" s="61"/>
    </row>
    <row r="56" spans="1:12" ht="15" thickBot="1">
      <c r="A56">
        <f t="shared" si="1"/>
        <v>29</v>
      </c>
      <c r="B56" t="s">
        <v>120</v>
      </c>
      <c r="E56" s="61"/>
      <c r="F56" s="61"/>
      <c r="G56" s="119">
        <v>2849.7</v>
      </c>
      <c r="H56" s="97">
        <f t="shared" si="5"/>
        <v>3220.1609999999996</v>
      </c>
      <c r="I56" s="313">
        <f t="shared" si="2"/>
        <v>3377.9488889999993</v>
      </c>
      <c r="J56" s="61"/>
      <c r="K56" s="61"/>
      <c r="L56" s="61"/>
    </row>
    <row r="57" spans="1:12" ht="15" thickBot="1">
      <c r="A57">
        <f t="shared" si="1"/>
        <v>30</v>
      </c>
      <c r="B57" t="s">
        <v>122</v>
      </c>
      <c r="E57" s="61"/>
      <c r="F57" s="61"/>
      <c r="G57" s="119">
        <v>1530.6499999999999</v>
      </c>
      <c r="H57" s="97">
        <f t="shared" si="5"/>
        <v>1729.6344999999997</v>
      </c>
      <c r="I57" s="313">
        <f t="shared" si="2"/>
        <v>1814.3865904999996</v>
      </c>
      <c r="J57" s="61"/>
      <c r="K57" s="61"/>
      <c r="L57" s="61"/>
    </row>
    <row r="58" spans="1:12" ht="15" thickBot="1">
      <c r="A58">
        <f t="shared" si="1"/>
        <v>31</v>
      </c>
      <c r="B58" t="s">
        <v>124</v>
      </c>
      <c r="E58" s="61"/>
      <c r="F58" s="61"/>
      <c r="G58" s="119">
        <v>3275</v>
      </c>
      <c r="H58" s="97">
        <f t="shared" si="5"/>
        <v>3700.7499999999995</v>
      </c>
      <c r="I58" s="313">
        <f t="shared" si="2"/>
        <v>3882.0867499999995</v>
      </c>
      <c r="J58" s="61"/>
      <c r="K58" s="61"/>
      <c r="L58" s="61"/>
    </row>
    <row r="59" spans="1:12" ht="15" thickBot="1">
      <c r="A59">
        <f t="shared" si="1"/>
        <v>32</v>
      </c>
      <c r="B59" t="s">
        <v>126</v>
      </c>
      <c r="E59" s="61"/>
      <c r="F59" s="61"/>
      <c r="G59" s="119">
        <v>4195</v>
      </c>
      <c r="H59" s="97">
        <f t="shared" si="5"/>
        <v>4740.3499999999995</v>
      </c>
      <c r="I59" s="313">
        <f t="shared" si="2"/>
        <v>4972.6271499999993</v>
      </c>
      <c r="J59" s="61"/>
      <c r="K59" s="61"/>
      <c r="L59" s="61"/>
    </row>
    <row r="60" spans="1:12" ht="15" thickBot="1">
      <c r="A60">
        <f t="shared" si="1"/>
        <v>33</v>
      </c>
      <c r="B60" s="4" t="s">
        <v>511</v>
      </c>
      <c r="E60" s="61"/>
      <c r="F60" s="61"/>
      <c r="G60" s="119">
        <v>678.5</v>
      </c>
      <c r="H60" s="97">
        <f t="shared" si="5"/>
        <v>766.70499999999993</v>
      </c>
      <c r="I60" s="313">
        <f t="shared" si="2"/>
        <v>804.2735449999999</v>
      </c>
      <c r="J60" s="61"/>
      <c r="K60" s="61"/>
      <c r="L60" s="61"/>
    </row>
    <row r="61" spans="1:12" ht="15" thickBot="1">
      <c r="A61">
        <f t="shared" si="1"/>
        <v>34</v>
      </c>
      <c r="B61" s="4" t="s">
        <v>512</v>
      </c>
      <c r="E61" s="61"/>
      <c r="F61" s="61"/>
      <c r="G61" s="119">
        <v>28.749999999999996</v>
      </c>
      <c r="H61" s="97">
        <f t="shared" si="5"/>
        <v>32.48749999999999</v>
      </c>
      <c r="I61" s="313">
        <f t="shared" si="2"/>
        <v>34.079387499999989</v>
      </c>
      <c r="J61" s="61"/>
      <c r="K61" s="61"/>
      <c r="L61" s="61"/>
    </row>
    <row r="62" spans="1:12" ht="15" thickBot="1">
      <c r="A62">
        <f t="shared" si="1"/>
        <v>35</v>
      </c>
      <c r="B62" s="4" t="s">
        <v>513</v>
      </c>
      <c r="E62" s="61"/>
      <c r="F62" s="61"/>
      <c r="G62" s="119" t="s">
        <v>489</v>
      </c>
      <c r="H62" s="97" t="s">
        <v>9</v>
      </c>
      <c r="I62" s="313"/>
      <c r="J62" s="61"/>
      <c r="K62" s="61"/>
      <c r="L62" s="61"/>
    </row>
    <row r="63" spans="1:12" ht="15" thickBot="1">
      <c r="A63">
        <f t="shared" si="1"/>
        <v>36</v>
      </c>
      <c r="B63" s="4" t="s">
        <v>514</v>
      </c>
      <c r="E63" s="61"/>
      <c r="F63" s="61"/>
      <c r="G63" s="119" t="s">
        <v>515</v>
      </c>
      <c r="H63" s="97" t="s">
        <v>209</v>
      </c>
      <c r="I63" s="313"/>
      <c r="J63" s="61"/>
      <c r="K63" s="61"/>
      <c r="L63" s="61"/>
    </row>
    <row r="64" spans="1:12" ht="15" thickBot="1">
      <c r="A64">
        <f t="shared" si="1"/>
        <v>37</v>
      </c>
      <c r="B64" t="s">
        <v>516</v>
      </c>
      <c r="E64" s="61"/>
      <c r="F64" s="61"/>
      <c r="G64" s="119" t="s">
        <v>32</v>
      </c>
      <c r="H64" s="97" t="s">
        <v>9</v>
      </c>
      <c r="I64" s="313"/>
      <c r="J64" s="61"/>
      <c r="K64" s="61"/>
      <c r="L64" s="61"/>
    </row>
    <row r="65" spans="1:12" ht="15" thickBot="1">
      <c r="A65">
        <f t="shared" si="1"/>
        <v>38</v>
      </c>
      <c r="B65" t="s">
        <v>517</v>
      </c>
      <c r="E65" s="61"/>
      <c r="F65" s="61"/>
      <c r="G65" s="119" t="s">
        <v>32</v>
      </c>
      <c r="H65" s="97" t="s">
        <v>9</v>
      </c>
      <c r="I65" s="313"/>
      <c r="J65" s="61"/>
      <c r="K65" s="61"/>
      <c r="L65" s="61"/>
    </row>
    <row r="66" spans="1:12" ht="15" thickBot="1">
      <c r="A66">
        <f t="shared" si="1"/>
        <v>39</v>
      </c>
      <c r="B66" t="s">
        <v>518</v>
      </c>
      <c r="E66" s="61"/>
      <c r="F66" s="61"/>
      <c r="G66" s="119" t="s">
        <v>32</v>
      </c>
      <c r="H66" s="97" t="s">
        <v>9</v>
      </c>
      <c r="I66" s="313"/>
      <c r="J66" s="61"/>
      <c r="K66" s="61"/>
      <c r="L66" s="61"/>
    </row>
    <row r="67" spans="1:12" ht="15" thickBot="1">
      <c r="A67">
        <f t="shared" si="1"/>
        <v>40</v>
      </c>
      <c r="B67" t="s">
        <v>519</v>
      </c>
      <c r="E67" s="61"/>
      <c r="F67" s="61"/>
      <c r="G67" s="112" t="s">
        <v>32</v>
      </c>
      <c r="H67" s="97" t="s">
        <v>9</v>
      </c>
      <c r="I67" s="313"/>
      <c r="J67" s="61"/>
      <c r="K67" s="61"/>
      <c r="L67" s="61"/>
    </row>
    <row r="68" spans="1:12" ht="15" thickBot="1">
      <c r="A68">
        <f t="shared" si="1"/>
        <v>41</v>
      </c>
      <c r="B68" t="s">
        <v>150</v>
      </c>
      <c r="E68" s="61"/>
      <c r="F68" s="61"/>
      <c r="G68" s="84">
        <v>200</v>
      </c>
      <c r="H68" s="97">
        <f t="shared" ref="H68:H76" si="6">SUM( G68*1.13)</f>
        <v>225.99999999999997</v>
      </c>
      <c r="I68" s="313">
        <f t="shared" si="2"/>
        <v>237.07399999999996</v>
      </c>
      <c r="J68" s="61"/>
      <c r="K68" s="61"/>
      <c r="L68" s="61"/>
    </row>
    <row r="69" spans="1:12" ht="15" thickBot="1">
      <c r="A69">
        <f t="shared" si="1"/>
        <v>42</v>
      </c>
      <c r="B69" t="s">
        <v>152</v>
      </c>
      <c r="E69" s="61"/>
      <c r="F69" s="61"/>
      <c r="G69" s="84">
        <v>200</v>
      </c>
      <c r="H69" s="97">
        <f t="shared" si="6"/>
        <v>225.99999999999997</v>
      </c>
      <c r="I69" s="313">
        <f t="shared" si="2"/>
        <v>237.07399999999996</v>
      </c>
      <c r="J69" s="61"/>
      <c r="K69" s="61"/>
      <c r="L69" s="61"/>
    </row>
    <row r="70" spans="1:12" ht="15" thickBot="1">
      <c r="A70">
        <f t="shared" si="1"/>
        <v>43</v>
      </c>
      <c r="B70" t="s">
        <v>154</v>
      </c>
      <c r="E70" s="61"/>
      <c r="F70" s="61"/>
      <c r="G70" s="84">
        <v>300</v>
      </c>
      <c r="H70" s="97">
        <f t="shared" si="6"/>
        <v>338.99999999999994</v>
      </c>
      <c r="I70" s="313">
        <f t="shared" si="2"/>
        <v>355.61099999999993</v>
      </c>
      <c r="J70" s="61"/>
      <c r="K70" s="61"/>
      <c r="L70" s="61"/>
    </row>
    <row r="71" spans="1:12" ht="15" thickBot="1">
      <c r="A71">
        <f t="shared" si="1"/>
        <v>44</v>
      </c>
      <c r="B71" t="s">
        <v>156</v>
      </c>
      <c r="E71" s="61"/>
      <c r="F71" s="61"/>
      <c r="G71" s="84">
        <v>300</v>
      </c>
      <c r="H71" s="97">
        <f t="shared" si="6"/>
        <v>338.99999999999994</v>
      </c>
      <c r="I71" s="313">
        <f t="shared" si="2"/>
        <v>355.61099999999993</v>
      </c>
      <c r="J71" s="61"/>
      <c r="K71" s="61"/>
      <c r="L71" s="61"/>
    </row>
    <row r="72" spans="1:12" ht="15" thickBot="1">
      <c r="A72">
        <f t="shared" si="1"/>
        <v>45</v>
      </c>
      <c r="B72" t="s">
        <v>157</v>
      </c>
      <c r="E72" s="61"/>
      <c r="F72" s="61"/>
      <c r="G72" s="84">
        <v>550</v>
      </c>
      <c r="H72" s="97">
        <f t="shared" si="6"/>
        <v>621.49999999999989</v>
      </c>
      <c r="I72" s="313">
        <f t="shared" si="2"/>
        <v>651.95349999999985</v>
      </c>
      <c r="J72" s="61"/>
      <c r="K72" s="61"/>
      <c r="L72" s="61"/>
    </row>
    <row r="73" spans="1:12" ht="15" thickBot="1">
      <c r="A73">
        <f t="shared" si="1"/>
        <v>46</v>
      </c>
      <c r="B73" t="s">
        <v>158</v>
      </c>
      <c r="E73" s="61"/>
      <c r="F73" s="61"/>
      <c r="G73" s="73">
        <v>1460.5</v>
      </c>
      <c r="H73" s="204">
        <f t="shared" si="6"/>
        <v>1650.3649999999998</v>
      </c>
      <c r="I73" s="313">
        <f t="shared" si="2"/>
        <v>1731.2328849999997</v>
      </c>
      <c r="J73" s="61"/>
      <c r="K73" s="61"/>
      <c r="L73" s="61"/>
    </row>
    <row r="74" spans="1:12" ht="15" thickBot="1">
      <c r="A74">
        <f t="shared" si="1"/>
        <v>47</v>
      </c>
      <c r="B74" t="s">
        <v>160</v>
      </c>
      <c r="E74" s="61"/>
      <c r="F74" s="61"/>
      <c r="G74" s="73">
        <v>1293.75</v>
      </c>
      <c r="H74" s="204">
        <f t="shared" si="6"/>
        <v>1461.9374999999998</v>
      </c>
      <c r="I74" s="313">
        <f t="shared" si="2"/>
        <v>1533.5724374999998</v>
      </c>
      <c r="J74" s="61"/>
      <c r="K74" s="61"/>
      <c r="L74" s="61"/>
    </row>
    <row r="75" spans="1:12" ht="15" thickBot="1">
      <c r="A75">
        <f t="shared" si="1"/>
        <v>48</v>
      </c>
      <c r="B75" t="s">
        <v>161</v>
      </c>
      <c r="E75" s="61"/>
      <c r="F75" s="61"/>
      <c r="G75" s="73">
        <v>1391.5</v>
      </c>
      <c r="H75" s="204">
        <f t="shared" si="6"/>
        <v>1572.3949999999998</v>
      </c>
      <c r="I75" s="313">
        <f t="shared" si="2"/>
        <v>1649.4423549999997</v>
      </c>
      <c r="J75" s="61"/>
      <c r="K75" s="61"/>
      <c r="L75" s="61"/>
    </row>
    <row r="76" spans="1:12" ht="15" thickBot="1">
      <c r="A76">
        <f t="shared" si="1"/>
        <v>49</v>
      </c>
      <c r="B76" t="s">
        <v>162</v>
      </c>
      <c r="E76" s="61"/>
      <c r="F76" s="61"/>
      <c r="G76" s="73">
        <v>1426</v>
      </c>
      <c r="H76" s="204">
        <f t="shared" si="6"/>
        <v>1611.3799999999999</v>
      </c>
      <c r="I76" s="313">
        <f t="shared" si="2"/>
        <v>1690.3376199999998</v>
      </c>
      <c r="J76" s="61"/>
      <c r="K76" s="61"/>
      <c r="L76" s="61"/>
    </row>
    <row r="77" spans="1:12" ht="15" thickBot="1">
      <c r="A77">
        <v>50</v>
      </c>
      <c r="B77" t="s">
        <v>167</v>
      </c>
      <c r="E77" s="61"/>
      <c r="F77" s="61"/>
      <c r="G77" s="112" t="s">
        <v>32</v>
      </c>
      <c r="H77" s="97" t="s">
        <v>9</v>
      </c>
      <c r="I77" s="313"/>
      <c r="J77" s="61"/>
      <c r="K77" s="61"/>
      <c r="L77" s="61"/>
    </row>
    <row r="78" spans="1:12" ht="15" thickBot="1">
      <c r="A78">
        <v>51</v>
      </c>
      <c r="B78" t="s">
        <v>344</v>
      </c>
      <c r="E78" s="61"/>
      <c r="F78" s="61"/>
      <c r="G78" s="84">
        <v>65.55</v>
      </c>
      <c r="H78" s="97">
        <f t="shared" ref="H78:H83" si="7">SUM( G78*1.13)</f>
        <v>74.071499999999986</v>
      </c>
      <c r="I78" s="313">
        <f t="shared" si="2"/>
        <v>77.701003499999985</v>
      </c>
      <c r="J78" s="61"/>
      <c r="K78" s="61"/>
      <c r="L78" s="61"/>
    </row>
    <row r="79" spans="1:12" ht="15" thickBot="1">
      <c r="A79">
        <v>52</v>
      </c>
      <c r="B79" t="s">
        <v>520</v>
      </c>
      <c r="E79" s="61"/>
      <c r="F79" s="61"/>
      <c r="G79" s="84">
        <v>9499</v>
      </c>
      <c r="H79" s="97">
        <f t="shared" si="7"/>
        <v>10733.869999999999</v>
      </c>
      <c r="I79" s="313">
        <f t="shared" si="2"/>
        <v>11259.829629999998</v>
      </c>
      <c r="J79" s="61"/>
      <c r="K79" s="61"/>
      <c r="L79" s="61"/>
    </row>
    <row r="80" spans="1:12" ht="15" thickBot="1">
      <c r="B80" t="s">
        <v>521</v>
      </c>
      <c r="E80" s="61"/>
      <c r="F80" s="61"/>
      <c r="G80" s="84">
        <v>10310.9</v>
      </c>
      <c r="H80" s="97">
        <f t="shared" si="7"/>
        <v>11651.316999999999</v>
      </c>
      <c r="I80" s="313">
        <f t="shared" si="2"/>
        <v>12222.231532999998</v>
      </c>
      <c r="J80" s="61"/>
      <c r="K80" s="61"/>
      <c r="L80" s="61"/>
    </row>
    <row r="81" spans="1:12" ht="15" thickBot="1">
      <c r="B81" t="s">
        <v>522</v>
      </c>
      <c r="E81" s="61"/>
      <c r="F81" s="61"/>
      <c r="G81" s="84">
        <v>13237.65</v>
      </c>
      <c r="H81" s="97">
        <f t="shared" si="7"/>
        <v>14958.544499999998</v>
      </c>
      <c r="I81" s="313">
        <f t="shared" si="2"/>
        <v>15691.513180499996</v>
      </c>
      <c r="J81" s="61"/>
      <c r="K81" s="61"/>
      <c r="L81" s="61"/>
    </row>
    <row r="82" spans="1:12" ht="15" thickBot="1">
      <c r="A82">
        <v>53</v>
      </c>
      <c r="B82" t="s">
        <v>523</v>
      </c>
      <c r="E82" s="61"/>
      <c r="F82" s="61"/>
      <c r="G82" s="84">
        <v>1109.75</v>
      </c>
      <c r="H82" s="97">
        <f t="shared" si="7"/>
        <v>1254.0174999999999</v>
      </c>
      <c r="I82" s="313">
        <f t="shared" si="2"/>
        <v>1315.4643574999998</v>
      </c>
      <c r="J82" s="61"/>
      <c r="K82" s="61"/>
      <c r="L82" s="61"/>
    </row>
    <row r="83" spans="1:12" ht="15" thickBot="1">
      <c r="A83">
        <v>54</v>
      </c>
      <c r="B83" t="s">
        <v>525</v>
      </c>
      <c r="E83" s="61"/>
      <c r="F83" s="61"/>
      <c r="G83" s="84">
        <v>3862.85</v>
      </c>
      <c r="H83" s="97">
        <f t="shared" si="7"/>
        <v>4365.0204999999996</v>
      </c>
      <c r="I83" s="313">
        <f t="shared" si="2"/>
        <v>4578.9065044999998</v>
      </c>
      <c r="J83" s="61"/>
      <c r="K83" s="61"/>
      <c r="L83" s="61"/>
    </row>
    <row r="84" spans="1:12" ht="15" thickBot="1">
      <c r="A84">
        <v>55</v>
      </c>
      <c r="B84" t="s">
        <v>527</v>
      </c>
      <c r="E84" s="61"/>
      <c r="F84" s="61"/>
      <c r="G84" s="112" t="s">
        <v>32</v>
      </c>
      <c r="H84" s="97" t="s">
        <v>9</v>
      </c>
      <c r="I84" s="61"/>
      <c r="J84" s="61"/>
      <c r="K84" s="61"/>
      <c r="L84" s="61"/>
    </row>
    <row r="85" spans="1:12">
      <c r="E85" s="61"/>
      <c r="F85" s="61"/>
      <c r="G85" s="61"/>
      <c r="H85" s="61"/>
      <c r="I85" s="61"/>
      <c r="J85" s="61"/>
      <c r="K85" s="61"/>
      <c r="L85" s="61"/>
    </row>
    <row r="86" spans="1:12">
      <c r="E86" s="61"/>
      <c r="F86" s="61"/>
      <c r="G86" s="61"/>
      <c r="H86" s="61"/>
      <c r="I86" s="61"/>
      <c r="J86" s="61"/>
      <c r="K86" s="61"/>
      <c r="L86" s="61"/>
    </row>
    <row r="87" spans="1:12">
      <c r="B87" s="1" t="s">
        <v>223</v>
      </c>
      <c r="E87" s="61"/>
      <c r="F87" s="61"/>
      <c r="G87" s="61"/>
      <c r="H87" s="61"/>
      <c r="I87" s="61"/>
      <c r="J87" s="61"/>
      <c r="K87" s="61"/>
      <c r="L87" s="61"/>
    </row>
    <row r="88" spans="1:12">
      <c r="E88" s="61"/>
      <c r="F88" s="61"/>
      <c r="G88" s="61"/>
      <c r="H88" s="61"/>
      <c r="I88" s="61"/>
      <c r="J88" s="61"/>
      <c r="K88" s="61"/>
      <c r="L88" s="61"/>
    </row>
    <row r="89" spans="1:12" ht="15" thickBot="1">
      <c r="B89" s="1" t="s">
        <v>1</v>
      </c>
      <c r="E89" s="61"/>
      <c r="F89" s="61"/>
      <c r="G89" s="84" t="s">
        <v>529</v>
      </c>
      <c r="H89" s="61"/>
      <c r="I89" s="61"/>
      <c r="J89" s="61"/>
      <c r="K89" s="61"/>
      <c r="L89" s="61"/>
    </row>
    <row r="90" spans="1:12">
      <c r="E90" s="61"/>
      <c r="F90" s="61"/>
      <c r="G90" s="61"/>
      <c r="H90" s="61"/>
      <c r="I90" s="61"/>
      <c r="J90" s="61"/>
      <c r="K90" s="61"/>
      <c r="L90" s="61"/>
    </row>
    <row r="91" spans="1:12" ht="15" thickBot="1">
      <c r="B91" s="1" t="s">
        <v>2</v>
      </c>
      <c r="E91" s="61"/>
      <c r="F91" s="61"/>
      <c r="G91" s="84" t="s">
        <v>530</v>
      </c>
      <c r="H91" s="61"/>
      <c r="I91" s="61"/>
      <c r="J91" s="61"/>
      <c r="K91" s="61"/>
      <c r="L91" s="61"/>
    </row>
    <row r="92" spans="1:12">
      <c r="E92" s="61"/>
      <c r="F92" s="61"/>
      <c r="G92" s="61"/>
      <c r="H92" s="61"/>
      <c r="I92" s="61"/>
      <c r="J92" s="61"/>
      <c r="K92" s="61"/>
      <c r="L92" s="61"/>
    </row>
    <row r="93" spans="1:12" ht="15" thickBot="1">
      <c r="B93" s="3" t="s">
        <v>479</v>
      </c>
      <c r="E93" s="61"/>
      <c r="F93" s="61"/>
      <c r="G93" s="84">
        <v>46195</v>
      </c>
      <c r="H93" s="64" t="s">
        <v>9</v>
      </c>
      <c r="I93" s="61"/>
      <c r="J93" s="61"/>
      <c r="K93" s="61"/>
      <c r="L93" s="61"/>
    </row>
    <row r="94" spans="1:12">
      <c r="B94" s="4"/>
      <c r="E94" s="61"/>
      <c r="F94" s="61"/>
      <c r="G94" s="61"/>
      <c r="H94" s="61"/>
      <c r="I94" s="61"/>
      <c r="J94" s="61"/>
      <c r="K94" s="61"/>
      <c r="L94" s="61"/>
    </row>
    <row r="95" spans="1:12" ht="15" thickBot="1">
      <c r="B95" s="3" t="s">
        <v>480</v>
      </c>
      <c r="E95" s="61"/>
      <c r="F95" s="61"/>
      <c r="G95" s="84">
        <v>49779</v>
      </c>
      <c r="H95" s="85">
        <v>70219</v>
      </c>
      <c r="I95" s="313">
        <f>H95*1.049+2658</f>
        <v>76317.731</v>
      </c>
      <c r="J95" s="61"/>
      <c r="K95" s="61"/>
      <c r="L95" s="61"/>
    </row>
    <row r="96" spans="1:12">
      <c r="B96" s="4"/>
      <c r="E96" s="61"/>
      <c r="F96" s="61"/>
      <c r="G96" s="61"/>
      <c r="H96" s="61"/>
      <c r="I96" s="61"/>
      <c r="J96" s="61"/>
      <c r="K96" s="61"/>
      <c r="L96" s="61"/>
    </row>
    <row r="97" spans="1:12" ht="15" thickBot="1">
      <c r="B97" s="3" t="s">
        <v>481</v>
      </c>
      <c r="E97" s="61"/>
      <c r="F97" s="61"/>
      <c r="G97" s="84">
        <v>53955</v>
      </c>
      <c r="H97" s="85">
        <v>74620</v>
      </c>
      <c r="I97" s="313">
        <f>H97*1.049+2578</f>
        <v>80854.37999999999</v>
      </c>
      <c r="J97" s="61"/>
      <c r="K97" s="61"/>
      <c r="L97" s="61"/>
    </row>
    <row r="98" spans="1:12">
      <c r="E98" s="61"/>
      <c r="F98" s="61"/>
      <c r="G98" s="61"/>
      <c r="H98" s="61"/>
      <c r="I98" s="61"/>
      <c r="J98" s="61"/>
      <c r="K98" s="61"/>
      <c r="L98" s="61"/>
    </row>
    <row r="99" spans="1:12">
      <c r="B99" s="3" t="s">
        <v>239</v>
      </c>
      <c r="E99" s="375" t="s">
        <v>482</v>
      </c>
      <c r="F99" s="375"/>
      <c r="G99" s="375"/>
      <c r="H99" s="61"/>
      <c r="I99" s="61"/>
      <c r="J99" s="61"/>
      <c r="K99" s="61"/>
      <c r="L99" s="61"/>
    </row>
    <row r="100" spans="1:12">
      <c r="B100" s="4"/>
      <c r="E100" s="61"/>
      <c r="F100" s="61"/>
      <c r="G100" s="61"/>
      <c r="H100" s="61"/>
      <c r="I100" s="61"/>
      <c r="J100" s="61"/>
      <c r="K100" s="61"/>
      <c r="L100" s="61"/>
    </row>
    <row r="101" spans="1:12" ht="15" thickBot="1">
      <c r="A101">
        <v>1</v>
      </c>
      <c r="B101" s="4" t="s">
        <v>531</v>
      </c>
      <c r="E101" s="61"/>
      <c r="F101" s="61"/>
      <c r="G101" s="121">
        <v>7900</v>
      </c>
      <c r="H101" s="72">
        <v>9175</v>
      </c>
      <c r="I101" s="313">
        <f t="shared" ref="I101" si="8">H101*1.049</f>
        <v>9624.5749999999989</v>
      </c>
      <c r="J101" s="61"/>
      <c r="K101" s="61"/>
      <c r="L101" s="61"/>
    </row>
    <row r="102" spans="1:12">
      <c r="A102">
        <f>A101+1</f>
        <v>2</v>
      </c>
      <c r="B102" s="4" t="s">
        <v>486</v>
      </c>
      <c r="E102" s="61"/>
      <c r="F102" s="61"/>
      <c r="G102" s="103"/>
      <c r="H102" s="61" t="s">
        <v>487</v>
      </c>
      <c r="I102" s="61"/>
      <c r="J102" s="61"/>
      <c r="K102" s="61"/>
      <c r="L102" s="61"/>
    </row>
    <row r="103" spans="1:12" ht="15" thickBot="1">
      <c r="B103" s="4"/>
      <c r="E103" s="61"/>
      <c r="F103" s="61" t="s">
        <v>532</v>
      </c>
      <c r="G103" s="121" t="s">
        <v>533</v>
      </c>
      <c r="H103" s="86" t="s">
        <v>533</v>
      </c>
      <c r="I103" s="61"/>
      <c r="J103" s="61"/>
      <c r="K103" s="61"/>
      <c r="L103" s="61"/>
    </row>
    <row r="104" spans="1:12" ht="15" thickBot="1">
      <c r="B104" s="4"/>
      <c r="E104" s="61"/>
      <c r="F104" s="61" t="s">
        <v>534</v>
      </c>
      <c r="G104" s="176" t="s">
        <v>533</v>
      </c>
      <c r="H104" s="128" t="s">
        <v>726</v>
      </c>
      <c r="I104" s="61"/>
      <c r="J104" s="61"/>
      <c r="K104" s="61"/>
      <c r="L104" s="61"/>
    </row>
    <row r="105" spans="1:12" ht="15" thickBot="1">
      <c r="B105" s="4"/>
      <c r="E105" s="61"/>
      <c r="F105" s="61" t="s">
        <v>535</v>
      </c>
      <c r="G105" s="176" t="s">
        <v>533</v>
      </c>
      <c r="H105" s="128" t="s">
        <v>727</v>
      </c>
      <c r="I105" s="61"/>
      <c r="J105" s="61"/>
      <c r="K105" s="61"/>
      <c r="L105" s="61"/>
    </row>
    <row r="106" spans="1:12" ht="15" thickBot="1">
      <c r="A106">
        <f>A102+1</f>
        <v>3</v>
      </c>
      <c r="B106" s="4" t="s">
        <v>488</v>
      </c>
      <c r="E106" s="61"/>
      <c r="F106" s="61"/>
      <c r="G106" s="121" t="s">
        <v>208</v>
      </c>
      <c r="H106" s="128" t="s">
        <v>208</v>
      </c>
      <c r="I106" s="61"/>
      <c r="J106" s="61"/>
      <c r="K106" s="61"/>
      <c r="L106" s="61"/>
    </row>
    <row r="107" spans="1:12" ht="15" thickBot="1">
      <c r="A107">
        <f t="shared" ref="A107:A155" si="9">A106+1</f>
        <v>4</v>
      </c>
      <c r="B107" t="s">
        <v>536</v>
      </c>
      <c r="E107" s="61"/>
      <c r="F107" s="61"/>
      <c r="G107" s="121">
        <v>7322</v>
      </c>
      <c r="H107" s="128">
        <v>8566.74</v>
      </c>
      <c r="I107" s="313">
        <f t="shared" ref="I107:I115" si="10">H107*1.049</f>
        <v>8986.5102599999991</v>
      </c>
      <c r="J107" s="61"/>
      <c r="K107" s="61"/>
      <c r="L107" s="61"/>
    </row>
    <row r="108" spans="1:12">
      <c r="A108">
        <f t="shared" si="9"/>
        <v>5</v>
      </c>
      <c r="B108" s="4" t="s">
        <v>537</v>
      </c>
      <c r="E108" s="61"/>
      <c r="F108" s="61"/>
      <c r="G108" s="103"/>
      <c r="H108" s="100"/>
      <c r="I108" s="61"/>
      <c r="J108" s="61"/>
      <c r="K108" s="61"/>
      <c r="L108" s="61"/>
    </row>
    <row r="109" spans="1:12" ht="15" thickBot="1">
      <c r="B109" s="4"/>
      <c r="E109" s="61"/>
      <c r="F109" s="61" t="s">
        <v>532</v>
      </c>
      <c r="G109" s="121">
        <v>4180</v>
      </c>
      <c r="H109" s="86">
        <v>4890.5999999999995</v>
      </c>
      <c r="I109" s="313">
        <f t="shared" si="10"/>
        <v>5130.2393999999995</v>
      </c>
      <c r="J109" s="61"/>
      <c r="K109" s="61"/>
      <c r="L109" s="61"/>
    </row>
    <row r="110" spans="1:12" ht="15" thickBot="1">
      <c r="B110" s="4"/>
      <c r="E110" s="61"/>
      <c r="F110" s="61" t="s">
        <v>534</v>
      </c>
      <c r="G110" s="121">
        <v>4510</v>
      </c>
      <c r="H110" s="128">
        <v>5276.7</v>
      </c>
      <c r="I110" s="313">
        <f t="shared" si="10"/>
        <v>5535.2582999999995</v>
      </c>
      <c r="J110" s="61"/>
      <c r="K110" s="61"/>
      <c r="L110" s="61"/>
    </row>
    <row r="111" spans="1:12" ht="15" thickBot="1">
      <c r="B111" s="4"/>
      <c r="E111" s="61"/>
      <c r="F111" s="61" t="s">
        <v>535</v>
      </c>
      <c r="G111" s="121">
        <v>6050.0000000000009</v>
      </c>
      <c r="H111" s="128">
        <v>7078.5000000000009</v>
      </c>
      <c r="I111" s="313">
        <f t="shared" si="10"/>
        <v>7425.3465000000006</v>
      </c>
      <c r="J111" s="61"/>
      <c r="K111" s="61"/>
      <c r="L111" s="61"/>
    </row>
    <row r="112" spans="1:12" ht="15" thickBot="1">
      <c r="A112">
        <f>A108+1</f>
        <v>6</v>
      </c>
      <c r="B112" s="4" t="s">
        <v>538</v>
      </c>
      <c r="E112" s="61"/>
      <c r="F112" s="61"/>
      <c r="G112" s="121">
        <v>6500</v>
      </c>
      <c r="H112" s="128">
        <v>6820</v>
      </c>
      <c r="I112" s="313">
        <f t="shared" si="10"/>
        <v>7154.1799999999994</v>
      </c>
      <c r="J112" s="61"/>
      <c r="K112" s="61"/>
      <c r="L112" s="61"/>
    </row>
    <row r="113" spans="1:12" ht="15" thickBot="1">
      <c r="A113">
        <f t="shared" si="9"/>
        <v>7</v>
      </c>
      <c r="B113" s="4" t="s">
        <v>500</v>
      </c>
      <c r="E113" s="61"/>
      <c r="F113" s="61"/>
      <c r="G113" s="121" t="s">
        <v>208</v>
      </c>
      <c r="H113" s="128" t="s">
        <v>208</v>
      </c>
      <c r="I113" s="118"/>
      <c r="J113" s="61"/>
      <c r="K113" s="61"/>
      <c r="L113" s="61"/>
    </row>
    <row r="114" spans="1:12" ht="15" thickBot="1">
      <c r="A114">
        <f t="shared" si="9"/>
        <v>8</v>
      </c>
      <c r="B114" s="4" t="s">
        <v>501</v>
      </c>
      <c r="E114" s="61"/>
      <c r="F114" s="61"/>
      <c r="G114" s="121">
        <v>180</v>
      </c>
      <c r="H114" s="128">
        <v>210.6</v>
      </c>
      <c r="I114" s="313">
        <f t="shared" si="10"/>
        <v>220.91939999999997</v>
      </c>
      <c r="J114" s="118" t="s">
        <v>539</v>
      </c>
      <c r="K114" s="61"/>
      <c r="L114" s="61"/>
    </row>
    <row r="115" spans="1:12" ht="15" thickBot="1">
      <c r="A115">
        <f t="shared" si="9"/>
        <v>9</v>
      </c>
      <c r="B115" s="4" t="s">
        <v>502</v>
      </c>
      <c r="E115" s="61"/>
      <c r="F115" s="61"/>
      <c r="G115" s="121">
        <v>5830.0000000000009</v>
      </c>
      <c r="H115" s="128">
        <v>6821.1</v>
      </c>
      <c r="I115" s="313">
        <f t="shared" si="10"/>
        <v>7155.3338999999996</v>
      </c>
      <c r="J115" s="118" t="s">
        <v>540</v>
      </c>
      <c r="K115" s="61"/>
      <c r="L115" s="61"/>
    </row>
    <row r="116" spans="1:12" ht="15" thickBot="1">
      <c r="A116">
        <f t="shared" si="9"/>
        <v>10</v>
      </c>
      <c r="B116" s="4" t="s">
        <v>503</v>
      </c>
      <c r="E116" s="61"/>
      <c r="F116" s="61"/>
      <c r="G116" s="121">
        <v>88</v>
      </c>
      <c r="H116" s="128">
        <v>102.96</v>
      </c>
      <c r="I116" s="313">
        <f t="shared" ref="I116:I161" si="11">H116*1.049</f>
        <v>108.00503999999998</v>
      </c>
      <c r="J116" s="61"/>
      <c r="K116" s="61"/>
      <c r="L116" s="61"/>
    </row>
    <row r="117" spans="1:12" ht="15" thickBot="1">
      <c r="A117">
        <f t="shared" si="9"/>
        <v>11</v>
      </c>
      <c r="B117" s="4" t="s">
        <v>504</v>
      </c>
      <c r="E117" s="61"/>
      <c r="F117" s="61"/>
      <c r="G117" s="121">
        <v>880.00000000000011</v>
      </c>
      <c r="H117" s="128">
        <v>1500</v>
      </c>
      <c r="I117" s="313">
        <f t="shared" si="11"/>
        <v>1573.5</v>
      </c>
      <c r="J117" s="61"/>
      <c r="K117" s="61"/>
      <c r="L117" s="61"/>
    </row>
    <row r="118" spans="1:12" ht="15" thickBot="1">
      <c r="A118">
        <f t="shared" si="9"/>
        <v>12</v>
      </c>
      <c r="B118" s="4" t="s">
        <v>34</v>
      </c>
      <c r="E118" s="61"/>
      <c r="F118" s="61"/>
      <c r="G118" s="121">
        <v>630</v>
      </c>
      <c r="H118" s="128">
        <v>825</v>
      </c>
      <c r="I118" s="313">
        <f t="shared" si="11"/>
        <v>865.42499999999995</v>
      </c>
      <c r="J118" s="61"/>
      <c r="K118" s="61"/>
      <c r="L118" s="61"/>
    </row>
    <row r="119" spans="1:12" ht="15" thickBot="1">
      <c r="A119">
        <f t="shared" si="9"/>
        <v>13</v>
      </c>
      <c r="B119" s="4" t="s">
        <v>37</v>
      </c>
      <c r="E119" s="61"/>
      <c r="F119" s="61"/>
      <c r="G119" s="121">
        <v>861</v>
      </c>
      <c r="H119" s="128">
        <v>1320</v>
      </c>
      <c r="I119" s="313">
        <f t="shared" si="11"/>
        <v>1384.6799999999998</v>
      </c>
      <c r="J119" s="61"/>
      <c r="K119" s="61"/>
      <c r="L119" s="61"/>
    </row>
    <row r="120" spans="1:12" ht="15" thickBot="1">
      <c r="A120">
        <f t="shared" si="9"/>
        <v>14</v>
      </c>
      <c r="B120" s="4" t="s">
        <v>39</v>
      </c>
      <c r="E120" s="61"/>
      <c r="F120" s="61"/>
      <c r="G120" s="121">
        <v>1365</v>
      </c>
      <c r="H120" s="128">
        <v>2100</v>
      </c>
      <c r="I120" s="313">
        <f t="shared" si="11"/>
        <v>2202.8999999999996</v>
      </c>
      <c r="J120" s="61"/>
      <c r="K120" s="61"/>
      <c r="L120" s="61"/>
    </row>
    <row r="121" spans="1:12" ht="15" thickBot="1">
      <c r="A121">
        <f t="shared" si="9"/>
        <v>15</v>
      </c>
      <c r="B121" s="4" t="s">
        <v>505</v>
      </c>
      <c r="E121" s="61"/>
      <c r="F121" s="61"/>
      <c r="G121" s="121">
        <v>630</v>
      </c>
      <c r="H121" s="128">
        <v>900</v>
      </c>
      <c r="I121" s="313">
        <f t="shared" si="11"/>
        <v>944.09999999999991</v>
      </c>
      <c r="J121" s="61"/>
      <c r="K121" s="61"/>
      <c r="L121" s="61"/>
    </row>
    <row r="122" spans="1:12" ht="15" thickBot="1">
      <c r="A122">
        <f t="shared" si="9"/>
        <v>16</v>
      </c>
      <c r="B122" s="4" t="s">
        <v>506</v>
      </c>
      <c r="E122" s="61"/>
      <c r="F122" s="61"/>
      <c r="G122" s="121">
        <v>47.25</v>
      </c>
      <c r="H122" s="128">
        <v>55.282499999999999</v>
      </c>
      <c r="I122" s="313">
        <f t="shared" si="11"/>
        <v>57.991342499999995</v>
      </c>
      <c r="J122" s="61"/>
      <c r="K122" s="61"/>
      <c r="L122" s="61"/>
    </row>
    <row r="123" spans="1:12" ht="15" thickBot="1">
      <c r="A123">
        <f t="shared" si="9"/>
        <v>17</v>
      </c>
      <c r="B123" s="4" t="s">
        <v>507</v>
      </c>
      <c r="E123" s="61"/>
      <c r="F123" s="61"/>
      <c r="G123" s="121">
        <v>19.95</v>
      </c>
      <c r="H123" s="128">
        <v>23.341499999999996</v>
      </c>
      <c r="I123" s="313">
        <f t="shared" si="11"/>
        <v>24.485233499999996</v>
      </c>
      <c r="J123" s="61"/>
      <c r="K123" s="61"/>
      <c r="L123" s="61"/>
    </row>
    <row r="124" spans="1:12" ht="15" thickBot="1">
      <c r="A124">
        <f t="shared" si="9"/>
        <v>18</v>
      </c>
      <c r="B124" t="s">
        <v>70</v>
      </c>
      <c r="E124" s="61"/>
      <c r="F124" s="61"/>
      <c r="G124" s="121">
        <v>57.75</v>
      </c>
      <c r="H124" s="128">
        <v>67.567499999999995</v>
      </c>
      <c r="I124" s="313">
        <f t="shared" si="11"/>
        <v>70.878307499999991</v>
      </c>
      <c r="J124" s="61"/>
      <c r="K124" s="61"/>
      <c r="L124" s="61"/>
    </row>
    <row r="125" spans="1:12" ht="15" thickBot="1">
      <c r="A125">
        <f t="shared" si="9"/>
        <v>19</v>
      </c>
      <c r="B125" t="s">
        <v>72</v>
      </c>
      <c r="E125" s="61"/>
      <c r="F125" s="61"/>
      <c r="G125" s="121">
        <v>31.5</v>
      </c>
      <c r="H125" s="128">
        <v>36.854999999999997</v>
      </c>
      <c r="I125" s="313">
        <f t="shared" si="11"/>
        <v>38.660894999999996</v>
      </c>
      <c r="J125" s="61"/>
      <c r="K125" s="61"/>
      <c r="L125" s="61"/>
    </row>
    <row r="126" spans="1:12" ht="15" thickBot="1">
      <c r="A126">
        <f t="shared" si="9"/>
        <v>20</v>
      </c>
      <c r="B126" t="s">
        <v>74</v>
      </c>
      <c r="E126" s="61"/>
      <c r="F126" s="61"/>
      <c r="G126" s="121">
        <v>52.5</v>
      </c>
      <c r="H126" s="128">
        <v>61.424999999999997</v>
      </c>
      <c r="I126" s="313">
        <f t="shared" si="11"/>
        <v>64.434824999999989</v>
      </c>
      <c r="J126" s="61"/>
      <c r="K126" s="61"/>
      <c r="L126" s="61"/>
    </row>
    <row r="127" spans="1:12" ht="15" thickBot="1">
      <c r="A127">
        <f t="shared" si="9"/>
        <v>21</v>
      </c>
      <c r="B127" t="s">
        <v>76</v>
      </c>
      <c r="E127" s="61"/>
      <c r="F127" s="61"/>
      <c r="G127" s="121" t="s">
        <v>209</v>
      </c>
      <c r="H127" s="128" t="s">
        <v>209</v>
      </c>
      <c r="I127" s="313"/>
      <c r="J127" s="61"/>
      <c r="K127" s="61"/>
      <c r="L127" s="61"/>
    </row>
    <row r="128" spans="1:12" ht="15" thickBot="1">
      <c r="A128">
        <f t="shared" si="9"/>
        <v>22</v>
      </c>
      <c r="B128" t="s">
        <v>510</v>
      </c>
      <c r="E128" s="61"/>
      <c r="F128" s="61"/>
      <c r="G128" s="121">
        <v>1760.0000000000002</v>
      </c>
      <c r="H128" s="128">
        <v>2059.2000000000003</v>
      </c>
      <c r="I128" s="313">
        <f t="shared" si="11"/>
        <v>2160.1008000000002</v>
      </c>
      <c r="J128" s="61"/>
      <c r="K128" s="61"/>
      <c r="L128" s="61"/>
    </row>
    <row r="129" spans="1:12" ht="15" thickBot="1">
      <c r="A129">
        <f t="shared" si="9"/>
        <v>23</v>
      </c>
      <c r="B129" t="s">
        <v>91</v>
      </c>
      <c r="E129" s="61"/>
      <c r="F129" s="61"/>
      <c r="G129" s="121">
        <v>-100</v>
      </c>
      <c r="H129" s="128">
        <v>-100</v>
      </c>
      <c r="I129" s="313">
        <f t="shared" si="11"/>
        <v>-104.89999999999999</v>
      </c>
      <c r="J129" s="61"/>
      <c r="K129" s="61"/>
      <c r="L129" s="61"/>
    </row>
    <row r="130" spans="1:12" ht="15" thickBot="1">
      <c r="A130">
        <f t="shared" si="9"/>
        <v>24</v>
      </c>
      <c r="B130" t="s">
        <v>93</v>
      </c>
      <c r="E130" s="61"/>
      <c r="F130" s="61"/>
      <c r="G130" s="121">
        <v>-100</v>
      </c>
      <c r="H130" s="128">
        <v>-100</v>
      </c>
      <c r="I130" s="313">
        <f t="shared" si="11"/>
        <v>-104.89999999999999</v>
      </c>
      <c r="J130" s="61"/>
      <c r="K130" s="61"/>
      <c r="L130" s="61"/>
    </row>
    <row r="131" spans="1:12" ht="15" thickBot="1">
      <c r="A131">
        <f t="shared" si="9"/>
        <v>25</v>
      </c>
      <c r="B131" t="s">
        <v>99</v>
      </c>
      <c r="E131" s="61"/>
      <c r="F131" s="61"/>
      <c r="G131" s="121" t="s">
        <v>209</v>
      </c>
      <c r="H131" s="128" t="s">
        <v>209</v>
      </c>
      <c r="I131" s="313"/>
      <c r="J131" s="61"/>
      <c r="K131" s="61"/>
      <c r="L131" s="61"/>
    </row>
    <row r="132" spans="1:12" ht="15" thickBot="1">
      <c r="A132">
        <f t="shared" si="9"/>
        <v>26</v>
      </c>
      <c r="B132" t="s">
        <v>101</v>
      </c>
      <c r="E132" s="61"/>
      <c r="F132" s="61"/>
      <c r="G132" s="121" t="s">
        <v>209</v>
      </c>
      <c r="H132" s="128" t="s">
        <v>209</v>
      </c>
      <c r="I132" s="313"/>
      <c r="J132" s="61"/>
      <c r="K132" s="61"/>
      <c r="L132" s="61"/>
    </row>
    <row r="133" spans="1:12" ht="15" thickBot="1">
      <c r="A133">
        <f t="shared" si="9"/>
        <v>27</v>
      </c>
      <c r="B133" t="s">
        <v>114</v>
      </c>
      <c r="E133" s="61"/>
      <c r="F133" s="61"/>
      <c r="G133" s="121">
        <v>3465</v>
      </c>
      <c r="H133" s="128">
        <v>4054.0499999999997</v>
      </c>
      <c r="I133" s="313">
        <f t="shared" si="11"/>
        <v>4252.6984499999999</v>
      </c>
      <c r="J133" s="61"/>
      <c r="K133" s="61"/>
      <c r="L133" s="61"/>
    </row>
    <row r="134" spans="1:12" ht="15" thickBot="1">
      <c r="A134">
        <f t="shared" si="9"/>
        <v>28</v>
      </c>
      <c r="B134" t="s">
        <v>116</v>
      </c>
      <c r="E134" s="61"/>
      <c r="F134" s="61"/>
      <c r="G134" s="121">
        <v>4987.5</v>
      </c>
      <c r="H134" s="128">
        <v>5835.375</v>
      </c>
      <c r="I134" s="313">
        <f t="shared" si="11"/>
        <v>6121.3083749999996</v>
      </c>
      <c r="J134" s="61"/>
      <c r="K134" s="61"/>
      <c r="L134" s="61"/>
    </row>
    <row r="135" spans="1:12" ht="15" thickBot="1">
      <c r="A135">
        <f t="shared" si="9"/>
        <v>29</v>
      </c>
      <c r="B135" t="s">
        <v>120</v>
      </c>
      <c r="E135" s="61"/>
      <c r="F135" s="61"/>
      <c r="G135" s="121">
        <v>500</v>
      </c>
      <c r="H135" s="128">
        <v>585</v>
      </c>
      <c r="I135" s="313">
        <f t="shared" si="11"/>
        <v>613.66499999999996</v>
      </c>
      <c r="J135" s="61" t="s">
        <v>394</v>
      </c>
      <c r="K135" s="61"/>
      <c r="L135" s="61"/>
    </row>
    <row r="136" spans="1:12" ht="15" thickBot="1">
      <c r="A136">
        <f t="shared" si="9"/>
        <v>30</v>
      </c>
      <c r="B136" t="s">
        <v>122</v>
      </c>
      <c r="E136" s="61"/>
      <c r="F136" s="61"/>
      <c r="G136" s="121">
        <v>3045</v>
      </c>
      <c r="H136" s="128">
        <v>3562.6499999999996</v>
      </c>
      <c r="I136" s="313">
        <f t="shared" si="11"/>
        <v>3737.2198499999995</v>
      </c>
      <c r="J136" s="61"/>
      <c r="K136" s="61"/>
      <c r="L136" s="61"/>
    </row>
    <row r="137" spans="1:12" ht="15" thickBot="1">
      <c r="A137">
        <f t="shared" si="9"/>
        <v>31</v>
      </c>
      <c r="B137" t="s">
        <v>124</v>
      </c>
      <c r="E137" s="61"/>
      <c r="F137" s="61"/>
      <c r="G137" s="121">
        <v>3360</v>
      </c>
      <c r="H137" s="128">
        <v>3931.2</v>
      </c>
      <c r="I137" s="313">
        <f t="shared" si="11"/>
        <v>4123.8287999999993</v>
      </c>
      <c r="J137" s="61"/>
      <c r="K137" s="61"/>
      <c r="L137" s="61"/>
    </row>
    <row r="138" spans="1:12" ht="15" thickBot="1">
      <c r="A138">
        <f t="shared" si="9"/>
        <v>32</v>
      </c>
      <c r="B138" t="s">
        <v>126</v>
      </c>
      <c r="E138" s="61"/>
      <c r="F138" s="61"/>
      <c r="G138" s="121">
        <v>4725</v>
      </c>
      <c r="H138" s="86">
        <v>5528.25</v>
      </c>
      <c r="I138" s="313">
        <f t="shared" si="11"/>
        <v>5799.1342500000001</v>
      </c>
      <c r="J138" s="61"/>
      <c r="K138" s="61"/>
      <c r="L138" s="61"/>
    </row>
    <row r="139" spans="1:12" ht="15" thickBot="1">
      <c r="A139">
        <f t="shared" si="9"/>
        <v>33</v>
      </c>
      <c r="B139" s="4" t="s">
        <v>511</v>
      </c>
      <c r="E139" s="61"/>
      <c r="F139" s="61"/>
      <c r="G139" s="121">
        <v>165</v>
      </c>
      <c r="H139" s="128">
        <v>193.04999999999998</v>
      </c>
      <c r="I139" s="313">
        <f t="shared" si="11"/>
        <v>202.50944999999996</v>
      </c>
      <c r="J139" s="61"/>
      <c r="K139" s="61"/>
      <c r="L139" s="61"/>
    </row>
    <row r="140" spans="1:12" ht="15" thickBot="1">
      <c r="A140">
        <f t="shared" si="9"/>
        <v>34</v>
      </c>
      <c r="B140" s="4" t="s">
        <v>512</v>
      </c>
      <c r="E140" s="61"/>
      <c r="F140" s="61"/>
      <c r="G140" s="121">
        <v>126</v>
      </c>
      <c r="H140" s="128">
        <v>147.41999999999999</v>
      </c>
      <c r="I140" s="313">
        <f t="shared" si="11"/>
        <v>154.64357999999999</v>
      </c>
      <c r="J140" s="61"/>
      <c r="K140" s="61"/>
      <c r="L140" s="61"/>
    </row>
    <row r="141" spans="1:12" ht="15" thickBot="1">
      <c r="A141">
        <f t="shared" si="9"/>
        <v>35</v>
      </c>
      <c r="B141" s="4" t="s">
        <v>513</v>
      </c>
      <c r="E141" s="61"/>
      <c r="F141" s="61"/>
      <c r="G141" s="121">
        <v>97</v>
      </c>
      <c r="H141" s="128">
        <v>113.49</v>
      </c>
      <c r="I141" s="313">
        <f t="shared" si="11"/>
        <v>119.05100999999999</v>
      </c>
      <c r="J141" s="61"/>
      <c r="K141" s="61"/>
      <c r="L141" s="61"/>
    </row>
    <row r="142" spans="1:12" ht="15" thickBot="1">
      <c r="A142">
        <f t="shared" si="9"/>
        <v>36</v>
      </c>
      <c r="B142" s="4" t="s">
        <v>514</v>
      </c>
      <c r="E142" s="61"/>
      <c r="F142" s="61"/>
      <c r="G142" s="121">
        <v>220</v>
      </c>
      <c r="H142" s="128">
        <v>257.39999999999998</v>
      </c>
      <c r="I142" s="313">
        <f t="shared" si="11"/>
        <v>270.01259999999996</v>
      </c>
      <c r="J142" s="138" t="s">
        <v>541</v>
      </c>
      <c r="K142" s="61"/>
      <c r="L142" s="61"/>
    </row>
    <row r="143" spans="1:12" ht="15" thickBot="1">
      <c r="A143">
        <f t="shared" si="9"/>
        <v>37</v>
      </c>
      <c r="B143" t="s">
        <v>516</v>
      </c>
      <c r="E143" s="61"/>
      <c r="F143" s="61"/>
      <c r="G143" s="121" t="s">
        <v>209</v>
      </c>
      <c r="H143" s="128" t="s">
        <v>209</v>
      </c>
      <c r="I143" s="313"/>
      <c r="J143" s="61"/>
      <c r="K143" s="61"/>
      <c r="L143" s="61"/>
    </row>
    <row r="144" spans="1:12" ht="15" thickBot="1">
      <c r="A144">
        <f t="shared" si="9"/>
        <v>38</v>
      </c>
      <c r="B144" t="s">
        <v>517</v>
      </c>
      <c r="E144" s="61"/>
      <c r="F144" s="61"/>
      <c r="G144" s="121" t="s">
        <v>209</v>
      </c>
      <c r="H144" s="128" t="s">
        <v>209</v>
      </c>
      <c r="I144" s="313"/>
      <c r="J144" s="61"/>
      <c r="K144" s="61"/>
      <c r="L144" s="61"/>
    </row>
    <row r="145" spans="1:12" ht="15" thickBot="1">
      <c r="A145">
        <f t="shared" si="9"/>
        <v>39</v>
      </c>
      <c r="B145" t="s">
        <v>518</v>
      </c>
      <c r="E145" s="61"/>
      <c r="F145" s="61"/>
      <c r="G145" s="121" t="s">
        <v>209</v>
      </c>
      <c r="H145" s="128" t="s">
        <v>209</v>
      </c>
      <c r="I145" s="313"/>
      <c r="J145" s="61"/>
      <c r="K145" s="61"/>
      <c r="L145" s="61"/>
    </row>
    <row r="146" spans="1:12" ht="15" thickBot="1">
      <c r="A146">
        <f t="shared" si="9"/>
        <v>40</v>
      </c>
      <c r="B146" t="s">
        <v>519</v>
      </c>
      <c r="E146" s="61"/>
      <c r="F146" s="61"/>
      <c r="G146" s="121" t="s">
        <v>209</v>
      </c>
      <c r="H146" s="128" t="s">
        <v>209</v>
      </c>
      <c r="I146" s="313"/>
      <c r="J146" s="61"/>
      <c r="K146" s="61"/>
      <c r="L146" s="61"/>
    </row>
    <row r="147" spans="1:12" ht="15" thickBot="1">
      <c r="A147">
        <f t="shared" si="9"/>
        <v>41</v>
      </c>
      <c r="B147" t="s">
        <v>150</v>
      </c>
      <c r="E147" s="61"/>
      <c r="F147" s="61"/>
      <c r="G147" s="121">
        <v>605</v>
      </c>
      <c r="H147" s="86">
        <v>800</v>
      </c>
      <c r="I147" s="313">
        <f t="shared" si="11"/>
        <v>839.19999999999993</v>
      </c>
      <c r="J147" s="61"/>
      <c r="K147" s="61"/>
      <c r="L147" s="61"/>
    </row>
    <row r="148" spans="1:12" ht="15" thickBot="1">
      <c r="A148">
        <f t="shared" si="9"/>
        <v>42</v>
      </c>
      <c r="B148" t="s">
        <v>152</v>
      </c>
      <c r="E148" s="61"/>
      <c r="F148" s="61"/>
      <c r="G148" s="121">
        <v>605</v>
      </c>
      <c r="H148" s="128">
        <v>800</v>
      </c>
      <c r="I148" s="313">
        <f t="shared" si="11"/>
        <v>839.19999999999993</v>
      </c>
      <c r="J148" s="61"/>
      <c r="K148" s="61"/>
      <c r="L148" s="61"/>
    </row>
    <row r="149" spans="1:12" ht="15" thickBot="1">
      <c r="A149">
        <f t="shared" si="9"/>
        <v>43</v>
      </c>
      <c r="B149" t="s">
        <v>154</v>
      </c>
      <c r="E149" s="61"/>
      <c r="F149" s="61"/>
      <c r="G149" s="121">
        <v>880</v>
      </c>
      <c r="H149" s="128">
        <v>1150</v>
      </c>
      <c r="I149" s="313">
        <f t="shared" si="11"/>
        <v>1206.3499999999999</v>
      </c>
      <c r="J149" s="61"/>
      <c r="K149" s="61"/>
      <c r="L149" s="61"/>
    </row>
    <row r="150" spans="1:12" ht="15" thickBot="1">
      <c r="A150">
        <f t="shared" si="9"/>
        <v>44</v>
      </c>
      <c r="B150" t="s">
        <v>156</v>
      </c>
      <c r="E150" s="61"/>
      <c r="F150" s="61"/>
      <c r="G150" s="121">
        <v>605</v>
      </c>
      <c r="H150" s="128">
        <v>800</v>
      </c>
      <c r="I150" s="313">
        <f t="shared" si="11"/>
        <v>839.19999999999993</v>
      </c>
      <c r="J150" s="61"/>
      <c r="K150" s="61"/>
      <c r="L150" s="61"/>
    </row>
    <row r="151" spans="1:12" ht="15" thickBot="1">
      <c r="A151">
        <f t="shared" si="9"/>
        <v>45</v>
      </c>
      <c r="B151" t="s">
        <v>157</v>
      </c>
      <c r="E151" s="61"/>
      <c r="F151" s="61"/>
      <c r="G151" s="121">
        <v>880</v>
      </c>
      <c r="H151" s="128">
        <v>1150</v>
      </c>
      <c r="I151" s="313">
        <f t="shared" si="11"/>
        <v>1206.3499999999999</v>
      </c>
      <c r="J151" s="61"/>
      <c r="K151" s="61"/>
      <c r="L151" s="61"/>
    </row>
    <row r="152" spans="1:12" ht="15" thickBot="1">
      <c r="A152">
        <f t="shared" si="9"/>
        <v>46</v>
      </c>
      <c r="B152" t="s">
        <v>158</v>
      </c>
      <c r="E152" s="61"/>
      <c r="F152" s="61"/>
      <c r="G152" s="121">
        <v>945</v>
      </c>
      <c r="H152" s="128">
        <v>1105.6500000000001</v>
      </c>
      <c r="I152" s="313">
        <f t="shared" si="11"/>
        <v>1159.8268499999999</v>
      </c>
      <c r="J152" s="61" t="s">
        <v>159</v>
      </c>
      <c r="K152" s="61"/>
      <c r="L152" s="61"/>
    </row>
    <row r="153" spans="1:12" ht="15" thickBot="1">
      <c r="A153">
        <f t="shared" si="9"/>
        <v>47</v>
      </c>
      <c r="B153" t="s">
        <v>160</v>
      </c>
      <c r="E153" s="61"/>
      <c r="F153" s="61"/>
      <c r="G153" s="121">
        <v>1260</v>
      </c>
      <c r="H153" s="100">
        <v>1474.1999999999998</v>
      </c>
      <c r="I153" s="313">
        <f t="shared" si="11"/>
        <v>1546.4357999999997</v>
      </c>
      <c r="J153" s="61"/>
      <c r="K153" s="61"/>
      <c r="L153" s="61"/>
    </row>
    <row r="154" spans="1:12" ht="15" thickBot="1">
      <c r="A154">
        <f t="shared" si="9"/>
        <v>48</v>
      </c>
      <c r="B154" t="s">
        <v>161</v>
      </c>
      <c r="E154" s="61"/>
      <c r="F154" s="61"/>
      <c r="G154" s="121">
        <v>1417.5</v>
      </c>
      <c r="H154" s="86">
        <v>1658.4749999999999</v>
      </c>
      <c r="I154" s="313">
        <f t="shared" si="11"/>
        <v>1739.7402749999999</v>
      </c>
      <c r="J154" s="61"/>
      <c r="K154" s="61"/>
      <c r="L154" s="61"/>
    </row>
    <row r="155" spans="1:12" ht="15" thickBot="1">
      <c r="A155">
        <f t="shared" si="9"/>
        <v>49</v>
      </c>
      <c r="B155" t="s">
        <v>162</v>
      </c>
      <c r="E155" s="61"/>
      <c r="F155" s="61"/>
      <c r="G155" s="121" t="s">
        <v>209</v>
      </c>
      <c r="H155" s="128" t="s">
        <v>209</v>
      </c>
      <c r="I155" s="313"/>
      <c r="J155" s="61"/>
      <c r="K155" s="61"/>
      <c r="L155" s="61"/>
    </row>
    <row r="156" spans="1:12" ht="15" thickBot="1">
      <c r="A156">
        <v>50</v>
      </c>
      <c r="B156" t="s">
        <v>167</v>
      </c>
      <c r="E156" s="61"/>
      <c r="F156" s="61"/>
      <c r="G156" s="121">
        <v>1700</v>
      </c>
      <c r="H156" s="100" t="s">
        <v>209</v>
      </c>
      <c r="I156" s="313"/>
      <c r="J156" s="61"/>
      <c r="K156" s="61"/>
      <c r="L156" s="61"/>
    </row>
    <row r="157" spans="1:12" ht="15" thickBot="1">
      <c r="A157">
        <v>51</v>
      </c>
      <c r="B157" t="s">
        <v>344</v>
      </c>
      <c r="E157" s="61"/>
      <c r="F157" s="61"/>
      <c r="G157" s="121">
        <v>75</v>
      </c>
      <c r="H157" s="86">
        <v>87.75</v>
      </c>
      <c r="I157" s="313">
        <f t="shared" si="11"/>
        <v>92.049749999999989</v>
      </c>
      <c r="J157" s="61"/>
      <c r="K157" s="61"/>
      <c r="L157" s="61"/>
    </row>
    <row r="158" spans="1:12">
      <c r="A158">
        <v>52</v>
      </c>
      <c r="B158" t="s">
        <v>542</v>
      </c>
      <c r="E158" s="61"/>
      <c r="F158" s="61"/>
      <c r="G158" s="103"/>
      <c r="H158" s="100"/>
      <c r="I158" s="313">
        <f t="shared" si="11"/>
        <v>0</v>
      </c>
      <c r="J158" s="61"/>
      <c r="K158" s="61"/>
      <c r="L158" s="61"/>
    </row>
    <row r="159" spans="1:12" ht="15" thickBot="1">
      <c r="E159" s="61"/>
      <c r="F159" s="61" t="s">
        <v>532</v>
      </c>
      <c r="G159" s="121">
        <v>10600</v>
      </c>
      <c r="H159" s="86">
        <v>12402</v>
      </c>
      <c r="I159" s="313">
        <f t="shared" si="11"/>
        <v>13009.697999999999</v>
      </c>
      <c r="J159" s="61"/>
      <c r="K159" s="61"/>
      <c r="L159" s="61"/>
    </row>
    <row r="160" spans="1:12" ht="15" thickBot="1">
      <c r="E160" s="61"/>
      <c r="F160" s="61" t="s">
        <v>534</v>
      </c>
      <c r="G160" s="121">
        <v>11100</v>
      </c>
      <c r="H160" s="128">
        <v>12987</v>
      </c>
      <c r="I160" s="313">
        <f t="shared" si="11"/>
        <v>13623.362999999999</v>
      </c>
      <c r="J160" s="61"/>
      <c r="K160" s="61"/>
      <c r="L160" s="61"/>
    </row>
    <row r="161" spans="1:12" ht="15" thickBot="1">
      <c r="E161" s="61"/>
      <c r="F161" s="61" t="s">
        <v>535</v>
      </c>
      <c r="G161" s="121">
        <v>12900</v>
      </c>
      <c r="H161" s="128">
        <v>15092.999999999998</v>
      </c>
      <c r="I161" s="313">
        <f t="shared" si="11"/>
        <v>15832.556999999997</v>
      </c>
      <c r="J161" s="61"/>
      <c r="K161" s="61"/>
      <c r="L161" s="61"/>
    </row>
    <row r="162" spans="1:12" ht="15" thickBot="1">
      <c r="A162">
        <v>53</v>
      </c>
      <c r="B162" t="s">
        <v>523</v>
      </c>
      <c r="E162" s="61"/>
      <c r="F162" s="61"/>
      <c r="G162" s="121" t="s">
        <v>209</v>
      </c>
      <c r="H162" s="128" t="s">
        <v>209</v>
      </c>
      <c r="J162" s="61" t="s">
        <v>524</v>
      </c>
      <c r="K162" s="61"/>
      <c r="L162" s="61"/>
    </row>
    <row r="163" spans="1:12" ht="15" thickBot="1">
      <c r="A163">
        <v>54</v>
      </c>
      <c r="B163" t="s">
        <v>525</v>
      </c>
      <c r="E163" s="61"/>
      <c r="F163" s="61"/>
      <c r="G163" s="121" t="s">
        <v>209</v>
      </c>
      <c r="H163" s="128" t="s">
        <v>209</v>
      </c>
      <c r="J163" s="61" t="s">
        <v>526</v>
      </c>
      <c r="K163" s="61"/>
      <c r="L163" s="61"/>
    </row>
    <row r="164" spans="1:12" ht="15" thickBot="1">
      <c r="A164">
        <v>55</v>
      </c>
      <c r="B164" t="s">
        <v>527</v>
      </c>
      <c r="E164" s="61"/>
      <c r="F164" s="61"/>
      <c r="G164" s="121" t="s">
        <v>209</v>
      </c>
      <c r="H164" s="128" t="s">
        <v>209</v>
      </c>
      <c r="J164" s="138"/>
      <c r="K164" s="61"/>
      <c r="L164" s="61"/>
    </row>
    <row r="165" spans="1:12" ht="15" thickBot="1">
      <c r="A165">
        <v>56</v>
      </c>
      <c r="B165" t="s">
        <v>543</v>
      </c>
      <c r="E165" s="61"/>
      <c r="F165" s="61"/>
      <c r="G165" s="121">
        <v>1800</v>
      </c>
      <c r="H165" s="128" t="s">
        <v>209</v>
      </c>
      <c r="J165" s="61"/>
      <c r="K165" s="61"/>
      <c r="L165" s="61"/>
    </row>
    <row r="166" spans="1:12">
      <c r="E166" s="61"/>
      <c r="F166" s="61"/>
      <c r="G166" s="61"/>
      <c r="H166" s="61"/>
      <c r="I166" s="61"/>
      <c r="J166" s="61"/>
      <c r="K166" s="61"/>
      <c r="L166" s="61"/>
    </row>
    <row r="167" spans="1:12">
      <c r="E167" s="61"/>
      <c r="F167" s="61"/>
      <c r="G167" s="61"/>
      <c r="H167" s="61"/>
      <c r="I167" s="61"/>
      <c r="J167" s="61"/>
      <c r="K167" s="61"/>
      <c r="L167" s="61"/>
    </row>
    <row r="168" spans="1:12">
      <c r="E168" s="61"/>
      <c r="F168" s="61"/>
      <c r="G168" s="61"/>
      <c r="H168" s="61"/>
      <c r="I168" s="61"/>
      <c r="J168" s="61"/>
      <c r="K168" s="61"/>
      <c r="L168" s="61"/>
    </row>
    <row r="169" spans="1:12">
      <c r="B169" s="1" t="s">
        <v>223</v>
      </c>
      <c r="E169" s="61"/>
      <c r="F169" s="61"/>
      <c r="G169" s="61"/>
      <c r="H169" s="61"/>
      <c r="I169" s="61"/>
      <c r="J169" s="61"/>
      <c r="K169" s="61"/>
      <c r="L169" s="61"/>
    </row>
    <row r="170" spans="1:12">
      <c r="E170" s="61"/>
      <c r="F170" s="61"/>
      <c r="G170" s="61"/>
      <c r="H170" s="61"/>
      <c r="I170" s="61"/>
      <c r="J170" s="61"/>
      <c r="K170" s="61"/>
      <c r="L170" s="61"/>
    </row>
    <row r="171" spans="1:12" ht="15" thickBot="1">
      <c r="B171" s="1" t="s">
        <v>1</v>
      </c>
      <c r="E171" s="61"/>
      <c r="F171" s="61"/>
      <c r="G171" s="84" t="s">
        <v>544</v>
      </c>
      <c r="H171" s="61"/>
      <c r="I171" s="61"/>
      <c r="J171" s="61"/>
      <c r="K171" s="61"/>
      <c r="L171" s="61"/>
    </row>
    <row r="172" spans="1:12">
      <c r="E172" s="61"/>
      <c r="F172" s="61"/>
      <c r="G172" s="61"/>
      <c r="H172" s="61"/>
      <c r="I172" s="61"/>
      <c r="J172" s="61"/>
      <c r="K172" s="61"/>
      <c r="L172" s="61"/>
    </row>
    <row r="173" spans="1:12" ht="15" thickBot="1">
      <c r="B173" s="1" t="s">
        <v>2</v>
      </c>
      <c r="E173" s="61"/>
      <c r="F173" s="61"/>
      <c r="G173" s="84" t="s">
        <v>545</v>
      </c>
      <c r="H173" s="61"/>
      <c r="I173" s="61"/>
      <c r="J173" s="61"/>
      <c r="K173" s="61"/>
      <c r="L173" s="61"/>
    </row>
    <row r="174" spans="1:12">
      <c r="E174" s="61"/>
      <c r="F174" s="61"/>
      <c r="G174" s="61"/>
      <c r="H174" s="61"/>
      <c r="I174" s="61"/>
      <c r="J174" s="61"/>
      <c r="K174" s="61"/>
      <c r="L174" s="61"/>
    </row>
    <row r="175" spans="1:12" ht="15" thickBot="1">
      <c r="B175" s="3" t="s">
        <v>479</v>
      </c>
      <c r="E175" s="61"/>
      <c r="F175" s="61"/>
      <c r="G175" s="121">
        <v>45240</v>
      </c>
      <c r="H175" s="64" t="s">
        <v>9</v>
      </c>
      <c r="I175" s="61"/>
      <c r="J175" s="61"/>
      <c r="K175" s="61"/>
      <c r="L175" s="61"/>
    </row>
    <row r="176" spans="1:12">
      <c r="B176" s="4"/>
      <c r="E176" s="61"/>
      <c r="F176" s="61"/>
      <c r="G176" s="61"/>
      <c r="H176" s="61"/>
      <c r="I176" s="61"/>
      <c r="J176" s="61"/>
      <c r="K176" s="61"/>
      <c r="L176" s="61"/>
    </row>
    <row r="177" spans="1:12" ht="15" thickBot="1">
      <c r="B177" s="3" t="s">
        <v>480</v>
      </c>
      <c r="E177" s="61"/>
      <c r="F177" s="61"/>
      <c r="G177" s="121">
        <v>48729</v>
      </c>
      <c r="H177" s="85">
        <v>70017</v>
      </c>
      <c r="I177" s="313">
        <f>H177*1.049+2666</f>
        <v>76113.832999999999</v>
      </c>
      <c r="J177" s="61"/>
      <c r="K177" s="61"/>
      <c r="L177" s="61"/>
    </row>
    <row r="178" spans="1:12">
      <c r="B178" s="4"/>
      <c r="E178" s="61"/>
      <c r="F178" s="61"/>
      <c r="G178" s="61"/>
      <c r="H178" s="61"/>
      <c r="I178" s="61"/>
      <c r="J178" s="61"/>
      <c r="K178" s="61"/>
      <c r="L178" s="61"/>
    </row>
    <row r="179" spans="1:12" ht="15" thickBot="1">
      <c r="B179" s="3" t="s">
        <v>481</v>
      </c>
      <c r="E179" s="61"/>
      <c r="F179" s="61"/>
      <c r="G179" s="121">
        <v>52535</v>
      </c>
      <c r="H179" s="85">
        <v>73382</v>
      </c>
      <c r="I179" s="313">
        <f>H179*1.049+2622</f>
        <v>79599.717999999993</v>
      </c>
      <c r="J179" s="61"/>
      <c r="K179" s="61"/>
      <c r="L179" s="61" t="s">
        <v>938</v>
      </c>
    </row>
    <row r="180" spans="1:12">
      <c r="B180" s="4"/>
      <c r="E180" s="61"/>
      <c r="F180" s="61"/>
      <c r="G180" s="61"/>
      <c r="H180" s="61"/>
      <c r="I180" s="61"/>
      <c r="J180" s="61"/>
      <c r="K180" s="61"/>
      <c r="L180" s="61"/>
    </row>
    <row r="181" spans="1:12">
      <c r="B181" s="3" t="s">
        <v>239</v>
      </c>
      <c r="E181" s="375" t="s">
        <v>482</v>
      </c>
      <c r="F181" s="375"/>
      <c r="G181" s="375"/>
      <c r="H181" s="61"/>
      <c r="I181" s="61"/>
      <c r="J181" s="61"/>
      <c r="K181" s="61"/>
      <c r="L181" s="61"/>
    </row>
    <row r="182" spans="1:12">
      <c r="B182" s="4"/>
      <c r="E182" s="61"/>
      <c r="F182" s="61"/>
      <c r="G182" s="61"/>
      <c r="H182" s="61"/>
      <c r="I182" s="61"/>
      <c r="J182" s="61"/>
      <c r="K182" s="61"/>
      <c r="L182" s="61"/>
    </row>
    <row r="183" spans="1:12" ht="15" thickBot="1">
      <c r="A183">
        <v>1</v>
      </c>
      <c r="B183" s="4" t="s">
        <v>531</v>
      </c>
      <c r="E183" s="61"/>
      <c r="F183" s="61"/>
      <c r="G183" s="121">
        <v>5800</v>
      </c>
      <c r="H183" s="86">
        <v>6922</v>
      </c>
      <c r="I183" s="313">
        <f t="shared" ref="I183:I189" si="12">H183*1.049</f>
        <v>7261.1779999999999</v>
      </c>
      <c r="J183" s="61"/>
      <c r="K183" s="61"/>
      <c r="L183" s="61"/>
    </row>
    <row r="184" spans="1:12">
      <c r="A184">
        <f>A183+1</f>
        <v>2</v>
      </c>
      <c r="B184" s="4" t="s">
        <v>486</v>
      </c>
      <c r="E184" s="61"/>
      <c r="F184" s="61"/>
      <c r="G184" s="177"/>
      <c r="H184" s="100"/>
      <c r="J184" s="61" t="s">
        <v>487</v>
      </c>
      <c r="K184" s="61"/>
      <c r="L184" s="61"/>
    </row>
    <row r="185" spans="1:12" ht="15" thickBot="1">
      <c r="B185" s="4"/>
      <c r="E185" s="61"/>
      <c r="F185" s="61" t="s">
        <v>532</v>
      </c>
      <c r="G185" s="121">
        <v>3960.0000000000005</v>
      </c>
      <c r="H185" s="86">
        <v>4633.2</v>
      </c>
      <c r="I185" s="313">
        <f t="shared" si="12"/>
        <v>4860.2267999999995</v>
      </c>
      <c r="J185" s="61"/>
      <c r="K185" s="61"/>
      <c r="L185" s="61"/>
    </row>
    <row r="186" spans="1:12" ht="15" thickBot="1">
      <c r="B186" s="4"/>
      <c r="E186" s="61"/>
      <c r="F186" s="61" t="s">
        <v>534</v>
      </c>
      <c r="G186" s="121">
        <v>3960.0000000000005</v>
      </c>
      <c r="H186" s="128">
        <v>4633.2</v>
      </c>
      <c r="I186" s="313">
        <f t="shared" si="12"/>
        <v>4860.2267999999995</v>
      </c>
      <c r="J186" s="61"/>
      <c r="K186" s="61"/>
      <c r="L186" s="61"/>
    </row>
    <row r="187" spans="1:12" ht="15" thickBot="1">
      <c r="B187" s="4"/>
      <c r="E187" s="61"/>
      <c r="F187" s="61" t="s">
        <v>535</v>
      </c>
      <c r="G187" s="121">
        <v>4400</v>
      </c>
      <c r="H187" s="128">
        <v>5148</v>
      </c>
      <c r="I187" s="313">
        <f t="shared" si="12"/>
        <v>5400.2519999999995</v>
      </c>
      <c r="J187" s="61"/>
      <c r="K187" s="61"/>
      <c r="L187" s="61"/>
    </row>
    <row r="188" spans="1:12" ht="15" thickBot="1">
      <c r="A188">
        <f>A184+1</f>
        <v>3</v>
      </c>
      <c r="B188" s="4" t="s">
        <v>488</v>
      </c>
      <c r="E188" s="61"/>
      <c r="F188" s="61"/>
      <c r="G188" s="121" t="s">
        <v>208</v>
      </c>
      <c r="H188" s="128" t="s">
        <v>208</v>
      </c>
      <c r="I188" s="313"/>
      <c r="J188" s="61"/>
      <c r="K188" s="61"/>
      <c r="L188" s="61"/>
    </row>
    <row r="189" spans="1:12" ht="15" thickBot="1">
      <c r="A189">
        <f t="shared" ref="A189:A237" si="13">A188+1</f>
        <v>4</v>
      </c>
      <c r="B189" t="s">
        <v>536</v>
      </c>
      <c r="E189" s="61"/>
      <c r="F189" s="61"/>
      <c r="G189" s="121">
        <v>3245.0000000000005</v>
      </c>
      <c r="H189" s="128">
        <v>3796.65</v>
      </c>
      <c r="I189" s="313">
        <f t="shared" si="12"/>
        <v>3982.6858499999998</v>
      </c>
      <c r="J189" s="168"/>
      <c r="K189" s="61"/>
      <c r="L189" s="61"/>
    </row>
    <row r="190" spans="1:12" ht="15" thickBot="1">
      <c r="A190">
        <f t="shared" si="13"/>
        <v>5</v>
      </c>
      <c r="B190" s="4" t="s">
        <v>537</v>
      </c>
      <c r="E190" s="61"/>
      <c r="F190" s="61"/>
      <c r="G190" s="121"/>
      <c r="H190" s="86"/>
      <c r="J190" s="61"/>
      <c r="K190" s="61"/>
      <c r="L190" s="61"/>
    </row>
    <row r="191" spans="1:12" ht="15" thickBot="1">
      <c r="B191" s="4"/>
      <c r="E191" s="61"/>
      <c r="F191" s="61" t="s">
        <v>532</v>
      </c>
      <c r="G191" s="121" t="s">
        <v>546</v>
      </c>
      <c r="H191" s="86" t="s">
        <v>546</v>
      </c>
      <c r="J191" s="61"/>
      <c r="K191" s="61"/>
      <c r="L191" s="61"/>
    </row>
    <row r="192" spans="1:12" ht="15" thickBot="1">
      <c r="B192" s="4"/>
      <c r="E192" s="61"/>
      <c r="F192" s="61" t="s">
        <v>534</v>
      </c>
      <c r="G192" s="121" t="s">
        <v>546</v>
      </c>
      <c r="H192" s="86" t="s">
        <v>546</v>
      </c>
      <c r="J192" s="61"/>
      <c r="K192" s="61"/>
      <c r="L192" s="61"/>
    </row>
    <row r="193" spans="1:12" ht="15" thickBot="1">
      <c r="B193" s="4"/>
      <c r="E193" s="61"/>
      <c r="F193" s="61" t="s">
        <v>535</v>
      </c>
      <c r="G193" s="121" t="s">
        <v>546</v>
      </c>
      <c r="H193" s="86" t="s">
        <v>546</v>
      </c>
      <c r="J193" s="61"/>
      <c r="K193" s="61"/>
      <c r="L193" s="61"/>
    </row>
    <row r="194" spans="1:12" ht="15" thickBot="1">
      <c r="A194">
        <f>A190+1</f>
        <v>6</v>
      </c>
      <c r="B194" s="4" t="s">
        <v>538</v>
      </c>
      <c r="E194" s="61"/>
      <c r="F194" s="61"/>
      <c r="G194" s="121">
        <v>6500</v>
      </c>
      <c r="H194" s="128">
        <v>6820</v>
      </c>
      <c r="I194" s="313">
        <f t="shared" ref="I194:I255" si="14">H194*1.049</f>
        <v>7154.1799999999994</v>
      </c>
      <c r="J194" s="61"/>
      <c r="K194" s="61"/>
      <c r="L194" s="61"/>
    </row>
    <row r="195" spans="1:12" ht="15" thickBot="1">
      <c r="A195">
        <f t="shared" si="13"/>
        <v>7</v>
      </c>
      <c r="B195" s="4" t="s">
        <v>500</v>
      </c>
      <c r="E195" s="61"/>
      <c r="F195" s="61"/>
      <c r="G195" s="121" t="s">
        <v>208</v>
      </c>
      <c r="H195" s="128" t="s">
        <v>208</v>
      </c>
      <c r="I195" s="313"/>
      <c r="J195" s="118"/>
      <c r="K195" s="61"/>
      <c r="L195" s="61"/>
    </row>
    <row r="196" spans="1:12" ht="15" thickBot="1">
      <c r="A196">
        <f t="shared" si="13"/>
        <v>8</v>
      </c>
      <c r="B196" s="4" t="s">
        <v>501</v>
      </c>
      <c r="E196" s="61"/>
      <c r="F196" s="61"/>
      <c r="G196" s="121">
        <v>416.4</v>
      </c>
      <c r="H196" s="128">
        <v>487.18799999999993</v>
      </c>
      <c r="I196" s="313">
        <f t="shared" si="14"/>
        <v>511.06021199999992</v>
      </c>
      <c r="J196" s="118" t="s">
        <v>539</v>
      </c>
      <c r="K196" s="61"/>
      <c r="L196" s="61"/>
    </row>
    <row r="197" spans="1:12" ht="15" thickBot="1">
      <c r="A197">
        <f t="shared" si="13"/>
        <v>9</v>
      </c>
      <c r="B197" s="4" t="s">
        <v>502</v>
      </c>
      <c r="E197" s="61"/>
      <c r="F197" s="61"/>
      <c r="G197" s="121">
        <v>5720.0000000000009</v>
      </c>
      <c r="H197" s="128">
        <v>6692.4000000000005</v>
      </c>
      <c r="I197" s="313">
        <f t="shared" si="14"/>
        <v>7020.3276000000005</v>
      </c>
      <c r="J197" s="118" t="s">
        <v>547</v>
      </c>
      <c r="K197" s="61"/>
      <c r="L197" s="61"/>
    </row>
    <row r="198" spans="1:12" ht="15" thickBot="1">
      <c r="A198">
        <f t="shared" si="13"/>
        <v>10</v>
      </c>
      <c r="B198" s="4" t="s">
        <v>503</v>
      </c>
      <c r="E198" s="61"/>
      <c r="F198" s="61"/>
      <c r="G198" s="121">
        <v>154</v>
      </c>
      <c r="H198" s="128">
        <v>180.17999999999998</v>
      </c>
      <c r="I198" s="313">
        <f t="shared" si="14"/>
        <v>189.00881999999996</v>
      </c>
      <c r="J198" s="61"/>
      <c r="K198" s="61"/>
      <c r="L198" s="61"/>
    </row>
    <row r="199" spans="1:12" ht="15" thickBot="1">
      <c r="A199">
        <f t="shared" si="13"/>
        <v>11</v>
      </c>
      <c r="B199" s="4" t="s">
        <v>504</v>
      </c>
      <c r="E199" s="61"/>
      <c r="F199" s="61"/>
      <c r="G199" s="121">
        <v>1485.0000000000002</v>
      </c>
      <c r="H199" s="86">
        <v>1737.4500000000003</v>
      </c>
      <c r="I199" s="313">
        <f t="shared" si="14"/>
        <v>1822.5850500000001</v>
      </c>
      <c r="J199" s="61"/>
      <c r="K199" s="61"/>
      <c r="L199" s="61"/>
    </row>
    <row r="200" spans="1:12" ht="15" thickBot="1">
      <c r="A200">
        <f t="shared" si="13"/>
        <v>12</v>
      </c>
      <c r="B200" s="4" t="s">
        <v>34</v>
      </c>
      <c r="E200" s="61"/>
      <c r="F200" s="61"/>
      <c r="G200" s="121">
        <v>365.40000000000003</v>
      </c>
      <c r="H200" s="128">
        <v>790</v>
      </c>
      <c r="I200" s="313">
        <f t="shared" si="14"/>
        <v>828.70999999999992</v>
      </c>
      <c r="J200" s="61"/>
      <c r="K200" s="61"/>
      <c r="L200" s="61"/>
    </row>
    <row r="201" spans="1:12" ht="15" thickBot="1">
      <c r="A201">
        <f t="shared" si="13"/>
        <v>13</v>
      </c>
      <c r="B201" s="4" t="s">
        <v>37</v>
      </c>
      <c r="E201" s="61"/>
      <c r="F201" s="61"/>
      <c r="G201" s="121">
        <v>596.4</v>
      </c>
      <c r="H201" s="128">
        <v>1275</v>
      </c>
      <c r="I201" s="313">
        <f t="shared" si="14"/>
        <v>1337.4749999999999</v>
      </c>
      <c r="J201" s="61"/>
      <c r="K201" s="61"/>
      <c r="L201" s="61"/>
    </row>
    <row r="202" spans="1:12" ht="15" thickBot="1">
      <c r="A202">
        <f t="shared" si="13"/>
        <v>14</v>
      </c>
      <c r="B202" s="4" t="s">
        <v>39</v>
      </c>
      <c r="E202" s="61"/>
      <c r="F202" s="61"/>
      <c r="G202" s="121">
        <v>899.85</v>
      </c>
      <c r="H202" s="128">
        <v>1965</v>
      </c>
      <c r="I202" s="313">
        <f t="shared" si="14"/>
        <v>2061.2849999999999</v>
      </c>
      <c r="J202" s="61"/>
      <c r="K202" s="61"/>
      <c r="L202" s="61"/>
    </row>
    <row r="203" spans="1:12" ht="15" thickBot="1">
      <c r="A203">
        <f t="shared" si="13"/>
        <v>15</v>
      </c>
      <c r="B203" s="4" t="s">
        <v>505</v>
      </c>
      <c r="E203" s="61"/>
      <c r="F203" s="61"/>
      <c r="G203" s="121">
        <v>597.45000000000005</v>
      </c>
      <c r="H203" s="128">
        <v>856</v>
      </c>
      <c r="I203" s="313">
        <f t="shared" si="14"/>
        <v>897.94399999999996</v>
      </c>
      <c r="J203" s="61"/>
      <c r="K203" s="61"/>
      <c r="L203" s="61"/>
    </row>
    <row r="204" spans="1:12" ht="15" thickBot="1">
      <c r="A204">
        <f t="shared" si="13"/>
        <v>16</v>
      </c>
      <c r="B204" s="4" t="s">
        <v>506</v>
      </c>
      <c r="E204" s="61"/>
      <c r="F204" s="61"/>
      <c r="G204" s="121">
        <v>53.550000000000004</v>
      </c>
      <c r="H204" s="128">
        <v>62.653500000000001</v>
      </c>
      <c r="I204" s="313">
        <f t="shared" si="14"/>
        <v>65.723521500000004</v>
      </c>
      <c r="J204" s="61"/>
      <c r="K204" s="61"/>
      <c r="L204" s="61"/>
    </row>
    <row r="205" spans="1:12" ht="15" thickBot="1">
      <c r="A205">
        <f t="shared" si="13"/>
        <v>17</v>
      </c>
      <c r="B205" s="4" t="s">
        <v>507</v>
      </c>
      <c r="E205" s="61"/>
      <c r="F205" s="61"/>
      <c r="G205" s="121">
        <v>31.5</v>
      </c>
      <c r="H205" s="128">
        <v>50</v>
      </c>
      <c r="I205" s="313">
        <f t="shared" si="14"/>
        <v>52.449999999999996</v>
      </c>
      <c r="J205" s="61"/>
      <c r="K205" s="61"/>
      <c r="L205" s="61"/>
    </row>
    <row r="206" spans="1:12" ht="15" thickBot="1">
      <c r="A206">
        <f t="shared" si="13"/>
        <v>18</v>
      </c>
      <c r="B206" t="s">
        <v>70</v>
      </c>
      <c r="E206" s="61"/>
      <c r="F206" s="61"/>
      <c r="G206" s="121">
        <v>78.75</v>
      </c>
      <c r="H206" s="128">
        <v>92.137499999999989</v>
      </c>
      <c r="I206" s="313">
        <f t="shared" si="14"/>
        <v>96.652237499999984</v>
      </c>
      <c r="J206" s="61"/>
      <c r="K206" s="61"/>
      <c r="L206" s="61"/>
    </row>
    <row r="207" spans="1:12" ht="15" thickBot="1">
      <c r="A207">
        <f t="shared" si="13"/>
        <v>19</v>
      </c>
      <c r="B207" t="s">
        <v>72</v>
      </c>
      <c r="E207" s="61"/>
      <c r="F207" s="61"/>
      <c r="G207" s="121">
        <v>31.5</v>
      </c>
      <c r="H207" s="128">
        <v>36.854999999999997</v>
      </c>
      <c r="I207" s="313">
        <f t="shared" si="14"/>
        <v>38.660894999999996</v>
      </c>
      <c r="J207" s="61"/>
      <c r="K207" s="61"/>
      <c r="L207" s="61"/>
    </row>
    <row r="208" spans="1:12" ht="15" thickBot="1">
      <c r="A208">
        <f t="shared" si="13"/>
        <v>20</v>
      </c>
      <c r="B208" t="s">
        <v>74</v>
      </c>
      <c r="E208" s="61"/>
      <c r="F208" s="61"/>
      <c r="G208" s="121">
        <v>78.75</v>
      </c>
      <c r="H208" s="128">
        <v>92.137499999999989</v>
      </c>
      <c r="I208" s="313">
        <f t="shared" si="14"/>
        <v>96.652237499999984</v>
      </c>
      <c r="J208" s="61"/>
      <c r="K208" s="61"/>
      <c r="L208" s="61"/>
    </row>
    <row r="209" spans="1:12" ht="15" thickBot="1">
      <c r="A209">
        <f t="shared" si="13"/>
        <v>21</v>
      </c>
      <c r="B209" t="s">
        <v>76</v>
      </c>
      <c r="E209" s="61"/>
      <c r="F209" s="61"/>
      <c r="G209" s="121" t="s">
        <v>209</v>
      </c>
      <c r="H209" s="128" t="s">
        <v>209</v>
      </c>
      <c r="I209" s="313"/>
      <c r="J209" s="61"/>
      <c r="K209" s="61"/>
      <c r="L209" s="61"/>
    </row>
    <row r="210" spans="1:12" ht="15" thickBot="1">
      <c r="A210">
        <f t="shared" si="13"/>
        <v>22</v>
      </c>
      <c r="B210" t="s">
        <v>510</v>
      </c>
      <c r="E210" s="61"/>
      <c r="F210" s="61"/>
      <c r="G210" s="121">
        <v>915.2</v>
      </c>
      <c r="H210" s="128">
        <v>1200</v>
      </c>
      <c r="I210" s="313">
        <f t="shared" si="14"/>
        <v>1258.8</v>
      </c>
      <c r="J210" s="61"/>
      <c r="K210" s="61"/>
      <c r="L210" s="61"/>
    </row>
    <row r="211" spans="1:12" ht="15" thickBot="1">
      <c r="A211">
        <f t="shared" si="13"/>
        <v>23</v>
      </c>
      <c r="B211" t="s">
        <v>91</v>
      </c>
      <c r="E211" s="61"/>
      <c r="F211" s="61"/>
      <c r="G211" s="121">
        <v>-100</v>
      </c>
      <c r="H211" s="128">
        <v>-100</v>
      </c>
      <c r="I211" s="313">
        <f t="shared" si="14"/>
        <v>-104.89999999999999</v>
      </c>
      <c r="J211" s="61"/>
      <c r="K211" s="61"/>
      <c r="L211" s="61"/>
    </row>
    <row r="212" spans="1:12" ht="15" thickBot="1">
      <c r="A212">
        <f t="shared" si="13"/>
        <v>24</v>
      </c>
      <c r="B212" t="s">
        <v>93</v>
      </c>
      <c r="E212" s="61"/>
      <c r="F212" s="61"/>
      <c r="G212" s="121">
        <v>-100</v>
      </c>
      <c r="H212" s="128">
        <v>-100</v>
      </c>
      <c r="I212" s="313">
        <f t="shared" si="14"/>
        <v>-104.89999999999999</v>
      </c>
      <c r="J212" s="61"/>
      <c r="K212" s="61"/>
      <c r="L212" s="61"/>
    </row>
    <row r="213" spans="1:12" ht="15" thickBot="1">
      <c r="A213">
        <f t="shared" si="13"/>
        <v>25</v>
      </c>
      <c r="B213" t="s">
        <v>99</v>
      </c>
      <c r="E213" s="61"/>
      <c r="F213" s="61"/>
      <c r="G213" s="121" t="s">
        <v>209</v>
      </c>
      <c r="H213" s="128" t="s">
        <v>209</v>
      </c>
      <c r="I213" s="313"/>
      <c r="J213" s="61"/>
      <c r="K213" s="61"/>
      <c r="L213" s="61"/>
    </row>
    <row r="214" spans="1:12" ht="15" thickBot="1">
      <c r="A214">
        <f t="shared" si="13"/>
        <v>26</v>
      </c>
      <c r="B214" t="s">
        <v>101</v>
      </c>
      <c r="E214" s="61"/>
      <c r="F214" s="61"/>
      <c r="G214" s="121" t="s">
        <v>209</v>
      </c>
      <c r="H214" s="128" t="s">
        <v>209</v>
      </c>
      <c r="I214" s="313"/>
      <c r="J214" s="61"/>
      <c r="K214" s="61"/>
      <c r="L214" s="61"/>
    </row>
    <row r="215" spans="1:12" ht="15" thickBot="1">
      <c r="A215">
        <f t="shared" si="13"/>
        <v>27</v>
      </c>
      <c r="B215" t="s">
        <v>114</v>
      </c>
      <c r="E215" s="61"/>
      <c r="F215" s="61"/>
      <c r="G215" s="121">
        <v>3453.4500000000003</v>
      </c>
      <c r="H215" s="128">
        <v>4040.5365000000002</v>
      </c>
      <c r="I215" s="313">
        <f t="shared" si="14"/>
        <v>4238.5227884999995</v>
      </c>
      <c r="J215" s="61"/>
      <c r="K215" s="61"/>
      <c r="L215" s="61"/>
    </row>
    <row r="216" spans="1:12" ht="15" thickBot="1">
      <c r="A216">
        <f t="shared" si="13"/>
        <v>28</v>
      </c>
      <c r="B216" t="s">
        <v>116</v>
      </c>
      <c r="E216" s="61"/>
      <c r="F216" s="61"/>
      <c r="G216" s="121">
        <v>5226.9000000000005</v>
      </c>
      <c r="H216" s="128">
        <v>6115.473</v>
      </c>
      <c r="I216" s="313">
        <f t="shared" si="14"/>
        <v>6415.1311769999993</v>
      </c>
      <c r="J216" s="61"/>
      <c r="K216" s="61"/>
      <c r="L216" s="61"/>
    </row>
    <row r="217" spans="1:12" ht="15" thickBot="1">
      <c r="A217">
        <f t="shared" si="13"/>
        <v>29</v>
      </c>
      <c r="B217" t="s">
        <v>120</v>
      </c>
      <c r="E217" s="61"/>
      <c r="F217" s="61"/>
      <c r="G217" s="121">
        <v>500</v>
      </c>
      <c r="H217" s="128">
        <v>585</v>
      </c>
      <c r="I217" s="313">
        <f t="shared" si="14"/>
        <v>613.66499999999996</v>
      </c>
      <c r="J217" s="61" t="s">
        <v>394</v>
      </c>
      <c r="K217" s="61"/>
      <c r="L217" s="61"/>
    </row>
    <row r="218" spans="1:12" ht="15" thickBot="1">
      <c r="A218">
        <f t="shared" si="13"/>
        <v>30</v>
      </c>
      <c r="B218" t="s">
        <v>122</v>
      </c>
      <c r="E218" s="61"/>
      <c r="F218" s="61"/>
      <c r="G218" s="121">
        <v>2913.75</v>
      </c>
      <c r="H218" s="128">
        <v>3409.0874999999996</v>
      </c>
      <c r="I218" s="313">
        <f t="shared" si="14"/>
        <v>3576.1327874999993</v>
      </c>
      <c r="J218" s="61"/>
      <c r="K218" s="61"/>
      <c r="L218" s="61"/>
    </row>
    <row r="219" spans="1:12" ht="15" thickBot="1">
      <c r="A219">
        <f t="shared" si="13"/>
        <v>31</v>
      </c>
      <c r="B219" t="s">
        <v>124</v>
      </c>
      <c r="E219" s="61"/>
      <c r="F219" s="61"/>
      <c r="G219" s="121">
        <v>2986.2000000000003</v>
      </c>
      <c r="H219" s="128">
        <v>3493.8540000000003</v>
      </c>
      <c r="I219" s="313">
        <f t="shared" si="14"/>
        <v>3665.052846</v>
      </c>
      <c r="J219" s="61"/>
      <c r="K219" s="61"/>
      <c r="L219" s="61"/>
    </row>
    <row r="220" spans="1:12" ht="15" thickBot="1">
      <c r="A220">
        <f t="shared" si="13"/>
        <v>32</v>
      </c>
      <c r="B220" t="s">
        <v>126</v>
      </c>
      <c r="E220" s="61"/>
      <c r="F220" s="61"/>
      <c r="G220" s="121">
        <v>3874.5</v>
      </c>
      <c r="H220" s="128">
        <v>4533.165</v>
      </c>
      <c r="I220" s="313">
        <f t="shared" si="14"/>
        <v>4755.2900849999996</v>
      </c>
      <c r="J220" s="61"/>
      <c r="K220" s="61"/>
      <c r="L220" s="61"/>
    </row>
    <row r="221" spans="1:12" ht="15" thickBot="1">
      <c r="A221">
        <f t="shared" si="13"/>
        <v>33</v>
      </c>
      <c r="B221" s="4" t="s">
        <v>511</v>
      </c>
      <c r="E221" s="61"/>
      <c r="F221" s="61"/>
      <c r="G221" s="121">
        <v>260.70000000000005</v>
      </c>
      <c r="H221" s="128">
        <v>305.01900000000006</v>
      </c>
      <c r="I221" s="313">
        <f t="shared" si="14"/>
        <v>319.96493100000004</v>
      </c>
      <c r="J221" s="61"/>
      <c r="K221" s="61"/>
      <c r="L221" s="61"/>
    </row>
    <row r="222" spans="1:12" ht="15" thickBot="1">
      <c r="A222">
        <f t="shared" si="13"/>
        <v>34</v>
      </c>
      <c r="B222" s="4" t="s">
        <v>512</v>
      </c>
      <c r="E222" s="61"/>
      <c r="F222" s="61"/>
      <c r="G222" s="121">
        <v>125.4</v>
      </c>
      <c r="H222" s="128">
        <v>146.71799999999999</v>
      </c>
      <c r="I222" s="313">
        <f t="shared" si="14"/>
        <v>153.90718199999998</v>
      </c>
      <c r="J222" s="61"/>
      <c r="K222" s="61"/>
      <c r="L222" s="61"/>
    </row>
    <row r="223" spans="1:12" ht="15" thickBot="1">
      <c r="A223">
        <f t="shared" si="13"/>
        <v>35</v>
      </c>
      <c r="B223" s="4" t="s">
        <v>513</v>
      </c>
      <c r="E223" s="61"/>
      <c r="F223" s="61"/>
      <c r="G223" s="121">
        <v>96.800000000000011</v>
      </c>
      <c r="H223" s="128">
        <v>113.256</v>
      </c>
      <c r="I223" s="313">
        <f t="shared" si="14"/>
        <v>118.805544</v>
      </c>
      <c r="J223" s="61"/>
      <c r="K223" s="61"/>
      <c r="L223" s="61"/>
    </row>
    <row r="224" spans="1:12" ht="15" thickBot="1">
      <c r="A224">
        <f t="shared" si="13"/>
        <v>36</v>
      </c>
      <c r="B224" s="4" t="s">
        <v>514</v>
      </c>
      <c r="E224" s="61"/>
      <c r="F224" s="61"/>
      <c r="G224" s="121">
        <v>220.00000000000003</v>
      </c>
      <c r="H224" s="86">
        <v>257.40000000000003</v>
      </c>
      <c r="I224" s="313">
        <f t="shared" si="14"/>
        <v>270.01260000000002</v>
      </c>
      <c r="J224" s="138" t="s">
        <v>541</v>
      </c>
      <c r="K224" s="61"/>
      <c r="L224" s="61"/>
    </row>
    <row r="225" spans="1:12" ht="15" thickBot="1">
      <c r="A225">
        <f t="shared" si="13"/>
        <v>37</v>
      </c>
      <c r="B225" t="s">
        <v>516</v>
      </c>
      <c r="E225" s="61"/>
      <c r="F225" s="61"/>
      <c r="G225" s="121">
        <v>5378.1</v>
      </c>
      <c r="H225" s="128">
        <v>6292.3770000000004</v>
      </c>
      <c r="I225" s="313">
        <f t="shared" si="14"/>
        <v>6600.7034729999996</v>
      </c>
      <c r="J225" s="61"/>
      <c r="K225" s="61"/>
      <c r="L225" s="61"/>
    </row>
    <row r="226" spans="1:12" ht="15" thickBot="1">
      <c r="A226">
        <f t="shared" si="13"/>
        <v>38</v>
      </c>
      <c r="B226" t="s">
        <v>517</v>
      </c>
      <c r="E226" s="61"/>
      <c r="F226" s="61"/>
      <c r="G226" s="121">
        <v>6245.4000000000005</v>
      </c>
      <c r="H226" s="128">
        <v>7307.1180000000004</v>
      </c>
      <c r="I226" s="313">
        <f t="shared" si="14"/>
        <v>7665.1667820000002</v>
      </c>
      <c r="J226" s="61"/>
      <c r="K226" s="61"/>
      <c r="L226" s="61"/>
    </row>
    <row r="227" spans="1:12" ht="15" thickBot="1">
      <c r="A227">
        <f t="shared" si="13"/>
        <v>39</v>
      </c>
      <c r="B227" t="s">
        <v>518</v>
      </c>
      <c r="E227" s="61"/>
      <c r="F227" s="61"/>
      <c r="G227" s="121">
        <v>5797.05</v>
      </c>
      <c r="H227" s="128">
        <v>6782.5484999999999</v>
      </c>
      <c r="I227" s="313">
        <f t="shared" si="14"/>
        <v>7114.8933764999992</v>
      </c>
      <c r="J227" s="61"/>
      <c r="K227" s="61"/>
      <c r="L227" s="61"/>
    </row>
    <row r="228" spans="1:12" ht="15" thickBot="1">
      <c r="A228">
        <f t="shared" si="13"/>
        <v>40</v>
      </c>
      <c r="B228" t="s">
        <v>519</v>
      </c>
      <c r="E228" s="61"/>
      <c r="F228" s="61"/>
      <c r="G228" s="121">
        <v>8516.5500000000011</v>
      </c>
      <c r="H228" s="100">
        <v>9964.3635000000013</v>
      </c>
      <c r="I228" s="313">
        <f t="shared" si="14"/>
        <v>10452.6173115</v>
      </c>
      <c r="J228" s="61"/>
      <c r="K228" s="61"/>
      <c r="L228" s="61"/>
    </row>
    <row r="229" spans="1:12" ht="15" thickBot="1">
      <c r="A229">
        <f t="shared" si="13"/>
        <v>41</v>
      </c>
      <c r="B229" t="s">
        <v>150</v>
      </c>
      <c r="E229" s="61"/>
      <c r="F229" s="61"/>
      <c r="G229" s="121">
        <v>605</v>
      </c>
      <c r="H229" s="128">
        <v>800</v>
      </c>
      <c r="I229" s="313">
        <f t="shared" si="14"/>
        <v>839.19999999999993</v>
      </c>
      <c r="J229" s="61"/>
      <c r="K229" s="61"/>
      <c r="L229" s="61"/>
    </row>
    <row r="230" spans="1:12" ht="15" thickBot="1">
      <c r="A230">
        <f t="shared" si="13"/>
        <v>42</v>
      </c>
      <c r="B230" t="s">
        <v>152</v>
      </c>
      <c r="E230" s="61"/>
      <c r="F230" s="61"/>
      <c r="G230" s="121">
        <v>605</v>
      </c>
      <c r="H230" s="128">
        <v>800</v>
      </c>
      <c r="I230" s="313">
        <f t="shared" si="14"/>
        <v>839.19999999999993</v>
      </c>
      <c r="J230" s="61"/>
      <c r="K230" s="61"/>
      <c r="L230" s="61"/>
    </row>
    <row r="231" spans="1:12" ht="15" thickBot="1">
      <c r="A231">
        <f t="shared" si="13"/>
        <v>43</v>
      </c>
      <c r="B231" t="s">
        <v>154</v>
      </c>
      <c r="E231" s="61"/>
      <c r="F231" s="61"/>
      <c r="G231" s="121">
        <v>880</v>
      </c>
      <c r="H231" s="128">
        <v>1150</v>
      </c>
      <c r="I231" s="313">
        <f t="shared" si="14"/>
        <v>1206.3499999999999</v>
      </c>
      <c r="J231" s="61"/>
      <c r="K231" s="61"/>
      <c r="L231" s="61"/>
    </row>
    <row r="232" spans="1:12" ht="15" thickBot="1">
      <c r="A232">
        <f t="shared" si="13"/>
        <v>44</v>
      </c>
      <c r="B232" t="s">
        <v>156</v>
      </c>
      <c r="E232" s="61"/>
      <c r="F232" s="61"/>
      <c r="G232" s="121">
        <v>605</v>
      </c>
      <c r="H232" s="128">
        <v>800</v>
      </c>
      <c r="I232" s="313">
        <f t="shared" si="14"/>
        <v>839.19999999999993</v>
      </c>
      <c r="J232" s="61"/>
      <c r="K232" s="61"/>
      <c r="L232" s="61"/>
    </row>
    <row r="233" spans="1:12" ht="15" thickBot="1">
      <c r="A233">
        <f t="shared" si="13"/>
        <v>45</v>
      </c>
      <c r="B233" t="s">
        <v>157</v>
      </c>
      <c r="E233" s="61"/>
      <c r="F233" s="61"/>
      <c r="G233" s="121">
        <v>880</v>
      </c>
      <c r="H233" s="128">
        <v>1150</v>
      </c>
      <c r="I233" s="313">
        <f t="shared" si="14"/>
        <v>1206.3499999999999</v>
      </c>
      <c r="J233" s="61"/>
      <c r="K233" s="61"/>
      <c r="L233" s="61"/>
    </row>
    <row r="234" spans="1:12" ht="15" thickBot="1">
      <c r="A234">
        <f t="shared" si="13"/>
        <v>46</v>
      </c>
      <c r="B234" t="s">
        <v>158</v>
      </c>
      <c r="E234" s="61"/>
      <c r="F234" s="61"/>
      <c r="G234" s="121">
        <v>1269.45</v>
      </c>
      <c r="H234" s="128">
        <v>1485.2565</v>
      </c>
      <c r="I234" s="313">
        <f t="shared" si="14"/>
        <v>1558.0340684999999</v>
      </c>
      <c r="J234" s="61" t="s">
        <v>159</v>
      </c>
      <c r="K234" s="61"/>
      <c r="L234" s="61"/>
    </row>
    <row r="235" spans="1:12" ht="15" thickBot="1">
      <c r="A235">
        <f t="shared" si="13"/>
        <v>47</v>
      </c>
      <c r="B235" t="s">
        <v>160</v>
      </c>
      <c r="E235" s="61"/>
      <c r="F235" s="61"/>
      <c r="G235" s="121">
        <v>1741.95</v>
      </c>
      <c r="H235" s="128">
        <v>2038.0815</v>
      </c>
      <c r="I235" s="313">
        <f t="shared" si="14"/>
        <v>2137.9474934999998</v>
      </c>
      <c r="J235" s="61"/>
      <c r="K235" s="61"/>
      <c r="L235" s="61"/>
    </row>
    <row r="236" spans="1:12" ht="15" thickBot="1">
      <c r="A236">
        <f t="shared" si="13"/>
        <v>48</v>
      </c>
      <c r="B236" t="s">
        <v>161</v>
      </c>
      <c r="E236" s="61"/>
      <c r="F236" s="61"/>
      <c r="G236" s="121">
        <v>1849.0500000000002</v>
      </c>
      <c r="H236" s="128">
        <v>2163.3885</v>
      </c>
      <c r="I236" s="313">
        <f t="shared" si="14"/>
        <v>2269.3945365</v>
      </c>
      <c r="J236" s="61"/>
      <c r="K236" s="61"/>
      <c r="L236" s="61"/>
    </row>
    <row r="237" spans="1:12" ht="15" thickBot="1">
      <c r="A237">
        <f t="shared" si="13"/>
        <v>49</v>
      </c>
      <c r="B237" t="s">
        <v>162</v>
      </c>
      <c r="E237" s="61"/>
      <c r="F237" s="61"/>
      <c r="G237" s="121">
        <v>2094.75</v>
      </c>
      <c r="H237" s="128">
        <v>2450.8575000000001</v>
      </c>
      <c r="I237" s="313">
        <f t="shared" si="14"/>
        <v>2570.9495174999997</v>
      </c>
      <c r="J237" s="61"/>
      <c r="K237" s="61"/>
      <c r="L237" s="61"/>
    </row>
    <row r="238" spans="1:12" ht="15" thickBot="1">
      <c r="A238">
        <v>50</v>
      </c>
      <c r="B238" t="s">
        <v>167</v>
      </c>
      <c r="E238" s="61"/>
      <c r="F238" s="61"/>
      <c r="G238" s="121">
        <v>1700</v>
      </c>
      <c r="H238" s="128" t="s">
        <v>209</v>
      </c>
      <c r="I238" s="313"/>
      <c r="J238" s="61"/>
      <c r="K238" s="61"/>
      <c r="L238" s="61"/>
    </row>
    <row r="239" spans="1:12" ht="15" thickBot="1">
      <c r="A239">
        <v>51</v>
      </c>
      <c r="B239" t="s">
        <v>344</v>
      </c>
      <c r="E239" s="61"/>
      <c r="F239" s="61"/>
      <c r="G239" s="121">
        <v>75</v>
      </c>
      <c r="H239" s="128">
        <v>87.75</v>
      </c>
      <c r="I239" s="313">
        <f t="shared" si="14"/>
        <v>92.049749999999989</v>
      </c>
      <c r="J239" s="61"/>
      <c r="K239" s="61"/>
      <c r="L239" s="61"/>
    </row>
    <row r="240" spans="1:12">
      <c r="A240">
        <v>52</v>
      </c>
      <c r="B240" t="s">
        <v>542</v>
      </c>
      <c r="E240" s="61"/>
      <c r="F240" s="61"/>
      <c r="G240" s="177"/>
      <c r="H240" s="100"/>
      <c r="I240" s="313">
        <f t="shared" si="14"/>
        <v>0</v>
      </c>
      <c r="J240" s="61"/>
      <c r="K240" s="61"/>
      <c r="L240" s="61"/>
    </row>
    <row r="241" spans="1:12" ht="15" thickBot="1">
      <c r="E241" s="61"/>
      <c r="F241" s="61" t="s">
        <v>532</v>
      </c>
      <c r="G241" s="121">
        <v>5100</v>
      </c>
      <c r="H241" s="86">
        <v>5967</v>
      </c>
      <c r="I241" s="313">
        <f t="shared" si="14"/>
        <v>6259.3829999999998</v>
      </c>
      <c r="J241" s="61"/>
      <c r="K241" s="61"/>
      <c r="L241" s="61"/>
    </row>
    <row r="242" spans="1:12" ht="15" thickBot="1">
      <c r="E242" s="61"/>
      <c r="F242" s="61" t="s">
        <v>534</v>
      </c>
      <c r="G242" s="121">
        <v>5100</v>
      </c>
      <c r="H242" s="128">
        <v>5967</v>
      </c>
      <c r="I242" s="313">
        <f t="shared" si="14"/>
        <v>6259.3829999999998</v>
      </c>
      <c r="J242" s="61"/>
      <c r="K242" s="61"/>
      <c r="L242" s="61"/>
    </row>
    <row r="243" spans="1:12" ht="15" thickBot="1">
      <c r="E243" s="61"/>
      <c r="F243" s="61" t="s">
        <v>535</v>
      </c>
      <c r="G243" s="121">
        <v>5500</v>
      </c>
      <c r="H243" s="128">
        <v>6435</v>
      </c>
      <c r="I243" s="313">
        <f t="shared" si="14"/>
        <v>6750.3149999999996</v>
      </c>
      <c r="J243" s="61"/>
      <c r="K243" s="61"/>
      <c r="L243" s="61"/>
    </row>
    <row r="244" spans="1:12" ht="15" thickBot="1">
      <c r="A244">
        <v>53</v>
      </c>
      <c r="B244" t="s">
        <v>523</v>
      </c>
      <c r="E244" s="61"/>
      <c r="F244" s="61"/>
      <c r="G244" s="121" t="s">
        <v>209</v>
      </c>
      <c r="H244" s="128" t="s">
        <v>209</v>
      </c>
      <c r="I244" s="313"/>
      <c r="J244" s="61" t="s">
        <v>524</v>
      </c>
      <c r="K244" s="61"/>
      <c r="L244" s="61"/>
    </row>
    <row r="245" spans="1:12" ht="15" thickBot="1">
      <c r="A245">
        <v>54</v>
      </c>
      <c r="B245" t="s">
        <v>525</v>
      </c>
      <c r="E245" s="61"/>
      <c r="F245" s="61"/>
      <c r="G245" s="121" t="s">
        <v>209</v>
      </c>
      <c r="H245" s="128" t="s">
        <v>209</v>
      </c>
      <c r="I245" s="313"/>
      <c r="J245" s="61" t="s">
        <v>526</v>
      </c>
      <c r="K245" s="61"/>
      <c r="L245" s="61"/>
    </row>
    <row r="246" spans="1:12" ht="15" thickBot="1">
      <c r="A246">
        <v>55</v>
      </c>
      <c r="B246" t="s">
        <v>527</v>
      </c>
      <c r="E246" s="61"/>
      <c r="F246" s="61"/>
      <c r="G246" s="121" t="s">
        <v>209</v>
      </c>
      <c r="H246" s="100" t="s">
        <v>209</v>
      </c>
      <c r="I246" s="313"/>
      <c r="J246" s="138"/>
      <c r="K246" s="61"/>
      <c r="L246" s="61"/>
    </row>
    <row r="247" spans="1:12" ht="15" thickBot="1">
      <c r="A247">
        <v>56</v>
      </c>
      <c r="B247" t="s">
        <v>543</v>
      </c>
      <c r="E247" s="61"/>
      <c r="F247" s="61"/>
      <c r="G247" s="121">
        <v>1800</v>
      </c>
      <c r="H247" s="128" t="s">
        <v>209</v>
      </c>
      <c r="I247" s="313"/>
      <c r="J247" s="61"/>
      <c r="K247" s="61"/>
      <c r="L247" s="61"/>
    </row>
    <row r="248" spans="1:12" ht="15" thickBot="1">
      <c r="A248">
        <v>57</v>
      </c>
      <c r="B248" t="s">
        <v>548</v>
      </c>
      <c r="E248" s="61"/>
      <c r="F248" s="61"/>
      <c r="G248" s="121">
        <v>165</v>
      </c>
      <c r="H248" s="128">
        <v>193.04999999999998</v>
      </c>
      <c r="I248" s="313">
        <f t="shared" si="14"/>
        <v>202.50944999999996</v>
      </c>
      <c r="J248" s="61"/>
      <c r="K248" s="61"/>
      <c r="L248" s="61"/>
    </row>
    <row r="249" spans="1:12" ht="15" thickBot="1">
      <c r="A249">
        <v>58</v>
      </c>
      <c r="B249" t="s">
        <v>549</v>
      </c>
      <c r="E249" s="61"/>
      <c r="F249" s="61"/>
      <c r="G249" s="121">
        <v>4800</v>
      </c>
      <c r="H249" s="128">
        <v>5616</v>
      </c>
      <c r="I249" s="313">
        <f t="shared" si="14"/>
        <v>5891.1839999999993</v>
      </c>
      <c r="J249" s="61"/>
      <c r="K249" s="61"/>
      <c r="L249" s="61"/>
    </row>
    <row r="250" spans="1:12" ht="15" thickBot="1">
      <c r="A250">
        <v>59</v>
      </c>
      <c r="B250" t="s">
        <v>550</v>
      </c>
      <c r="D250" s="1"/>
      <c r="E250" s="61"/>
      <c r="F250" s="61"/>
      <c r="G250" s="121">
        <v>94</v>
      </c>
      <c r="H250" s="128">
        <v>109.97999999999999</v>
      </c>
      <c r="I250" s="313">
        <f t="shared" si="14"/>
        <v>115.36901999999998</v>
      </c>
      <c r="J250" s="61"/>
      <c r="K250" s="61"/>
      <c r="L250" s="61"/>
    </row>
    <row r="251" spans="1:12" ht="15" thickBot="1">
      <c r="A251">
        <v>60</v>
      </c>
      <c r="B251" t="s">
        <v>551</v>
      </c>
      <c r="E251" s="61"/>
      <c r="F251" s="61"/>
      <c r="G251" s="121">
        <v>94</v>
      </c>
      <c r="H251" s="128">
        <v>109.97999999999999</v>
      </c>
      <c r="I251" s="313">
        <f t="shared" si="14"/>
        <v>115.36901999999998</v>
      </c>
      <c r="J251" s="61"/>
      <c r="K251" s="61"/>
      <c r="L251" s="61"/>
    </row>
    <row r="252" spans="1:12" ht="15" thickBot="1">
      <c r="A252">
        <v>61</v>
      </c>
      <c r="B252" t="s">
        <v>552</v>
      </c>
      <c r="D252" s="1"/>
      <c r="E252" s="61"/>
      <c r="F252" s="61"/>
      <c r="G252" s="121">
        <v>1095</v>
      </c>
      <c r="H252" s="128">
        <v>1281.1499999999999</v>
      </c>
      <c r="I252" s="313">
        <f t="shared" si="14"/>
        <v>1343.9263499999997</v>
      </c>
      <c r="J252" s="61"/>
      <c r="K252" s="61"/>
      <c r="L252" s="61"/>
    </row>
    <row r="253" spans="1:12" ht="15" thickBot="1">
      <c r="A253">
        <v>62</v>
      </c>
      <c r="B253" t="s">
        <v>553</v>
      </c>
      <c r="E253" s="61"/>
      <c r="F253" s="61"/>
      <c r="G253" s="121">
        <v>1595</v>
      </c>
      <c r="H253" s="128">
        <v>1866.1499999999999</v>
      </c>
      <c r="I253" s="313">
        <f t="shared" si="14"/>
        <v>1957.5913499999997</v>
      </c>
      <c r="J253" s="61"/>
      <c r="K253" s="61"/>
      <c r="L253" s="61"/>
    </row>
    <row r="254" spans="1:12" ht="15" thickBot="1">
      <c r="A254">
        <v>63</v>
      </c>
      <c r="B254" t="s">
        <v>554</v>
      </c>
      <c r="D254" s="1"/>
      <c r="E254" s="61"/>
      <c r="F254" s="61"/>
      <c r="G254" s="121">
        <v>17000</v>
      </c>
      <c r="H254" s="128">
        <v>19890</v>
      </c>
      <c r="I254" s="313">
        <f t="shared" si="14"/>
        <v>20864.609999999997</v>
      </c>
      <c r="J254" s="61"/>
      <c r="K254" s="61"/>
      <c r="L254" s="61"/>
    </row>
    <row r="255" spans="1:12" ht="15" thickBot="1">
      <c r="A255">
        <v>64</v>
      </c>
      <c r="B255" t="s">
        <v>729</v>
      </c>
      <c r="E255" s="61"/>
      <c r="F255" s="61"/>
      <c r="G255" s="169"/>
      <c r="H255" s="128">
        <v>8900</v>
      </c>
      <c r="I255" s="313">
        <f t="shared" si="14"/>
        <v>9336.0999999999985</v>
      </c>
      <c r="J255" s="61" t="s">
        <v>728</v>
      </c>
      <c r="K255" s="61"/>
      <c r="L255" s="61"/>
    </row>
    <row r="256" spans="1:12">
      <c r="E256" s="61"/>
      <c r="F256" s="61"/>
      <c r="G256" s="61"/>
      <c r="H256" s="61"/>
      <c r="I256" s="61"/>
      <c r="J256" s="61"/>
      <c r="K256" s="61"/>
      <c r="L256" s="61"/>
    </row>
    <row r="257" spans="5:12">
      <c r="E257" s="61"/>
      <c r="F257" s="61"/>
      <c r="G257" s="61"/>
      <c r="H257" s="61"/>
      <c r="I257" s="61"/>
      <c r="J257" s="61"/>
      <c r="K257" s="61"/>
      <c r="L257" s="61"/>
    </row>
    <row r="258" spans="5:12">
      <c r="E258" s="61"/>
      <c r="F258" s="61"/>
      <c r="G258" s="61"/>
      <c r="H258" s="61"/>
      <c r="I258" s="61"/>
      <c r="J258" s="61"/>
      <c r="K258" s="61"/>
      <c r="L258" s="61"/>
    </row>
    <row r="259" spans="5:12">
      <c r="E259" s="61"/>
      <c r="F259" s="61"/>
      <c r="G259" s="61"/>
      <c r="H259" s="61"/>
      <c r="I259" s="61"/>
      <c r="J259" s="61"/>
      <c r="K259" s="61"/>
      <c r="L259" s="61"/>
    </row>
    <row r="260" spans="5:12">
      <c r="E260" s="61"/>
      <c r="F260" s="61"/>
      <c r="G260" s="61"/>
      <c r="H260" s="61"/>
      <c r="I260" s="61"/>
      <c r="J260" s="61"/>
      <c r="K260" s="61"/>
      <c r="L260" s="61"/>
    </row>
    <row r="261" spans="5:12">
      <c r="E261" s="61"/>
      <c r="F261" s="61"/>
      <c r="G261" s="61"/>
      <c r="H261" s="61"/>
      <c r="I261" s="61"/>
      <c r="J261" s="61"/>
      <c r="K261" s="61"/>
      <c r="L261" s="61"/>
    </row>
    <row r="262" spans="5:12">
      <c r="E262" s="61"/>
      <c r="F262" s="61"/>
      <c r="G262" s="61"/>
      <c r="H262" s="61"/>
      <c r="I262" s="61"/>
      <c r="J262" s="61"/>
      <c r="K262" s="61"/>
      <c r="L262" s="61"/>
    </row>
    <row r="263" spans="5:12">
      <c r="E263" s="61"/>
      <c r="F263" s="61"/>
      <c r="G263" s="61"/>
      <c r="H263" s="61"/>
      <c r="I263" s="61"/>
      <c r="J263" s="61"/>
      <c r="K263" s="61"/>
      <c r="L263" s="61"/>
    </row>
    <row r="264" spans="5:12">
      <c r="E264" s="61"/>
      <c r="F264" s="61"/>
      <c r="G264" s="61"/>
      <c r="H264" s="61"/>
      <c r="I264" s="61"/>
      <c r="J264" s="61"/>
      <c r="K264" s="61"/>
      <c r="L264" s="61"/>
    </row>
    <row r="265" spans="5:12">
      <c r="E265" s="61"/>
      <c r="F265" s="61"/>
      <c r="G265" s="61"/>
      <c r="H265" s="61"/>
      <c r="I265" s="61"/>
      <c r="J265" s="61"/>
      <c r="K265" s="61"/>
      <c r="L265" s="61"/>
    </row>
    <row r="266" spans="5:12">
      <c r="E266" s="61"/>
      <c r="F266" s="61"/>
      <c r="G266" s="61"/>
      <c r="H266" s="61"/>
      <c r="I266" s="61"/>
      <c r="J266" s="61"/>
      <c r="K266" s="61"/>
      <c r="L266" s="61"/>
    </row>
    <row r="267" spans="5:12">
      <c r="E267" s="61"/>
      <c r="F267" s="61"/>
      <c r="G267" s="61"/>
      <c r="H267" s="61"/>
      <c r="I267" s="61"/>
      <c r="J267" s="61"/>
      <c r="K267" s="61"/>
      <c r="L267" s="61"/>
    </row>
    <row r="268" spans="5:12">
      <c r="E268" s="61"/>
      <c r="F268" s="61"/>
      <c r="G268" s="61"/>
      <c r="H268" s="61"/>
      <c r="I268" s="61"/>
      <c r="J268" s="61"/>
      <c r="K268" s="61"/>
      <c r="L268" s="61"/>
    </row>
    <row r="269" spans="5:12">
      <c r="E269" s="61"/>
      <c r="F269" s="61"/>
      <c r="G269" s="61"/>
      <c r="H269" s="61"/>
      <c r="I269" s="61"/>
      <c r="J269" s="61"/>
      <c r="K269" s="61"/>
      <c r="L269" s="61"/>
    </row>
    <row r="270" spans="5:12">
      <c r="E270" s="61"/>
      <c r="F270" s="61"/>
      <c r="G270" s="61"/>
      <c r="H270" s="61"/>
      <c r="I270" s="61"/>
      <c r="J270" s="61"/>
      <c r="K270" s="61"/>
      <c r="L270" s="61"/>
    </row>
    <row r="271" spans="5:12">
      <c r="E271" s="61"/>
      <c r="F271" s="61"/>
      <c r="G271" s="61"/>
      <c r="H271" s="61"/>
      <c r="I271" s="61"/>
      <c r="J271" s="61"/>
      <c r="K271" s="61"/>
      <c r="L271" s="61"/>
    </row>
    <row r="272" spans="5:12">
      <c r="E272" s="61"/>
      <c r="F272" s="61"/>
      <c r="G272" s="61"/>
      <c r="H272" s="61"/>
      <c r="I272" s="61"/>
      <c r="J272" s="61"/>
      <c r="K272" s="61"/>
      <c r="L272" s="61"/>
    </row>
    <row r="273" spans="5:12">
      <c r="E273" s="61"/>
      <c r="F273" s="61"/>
      <c r="G273" s="61"/>
      <c r="H273" s="61"/>
      <c r="I273" s="61"/>
      <c r="J273" s="61"/>
      <c r="K273" s="61"/>
      <c r="L273" s="61"/>
    </row>
    <row r="274" spans="5:12">
      <c r="E274" s="61"/>
      <c r="F274" s="61"/>
      <c r="G274" s="61"/>
      <c r="H274" s="61"/>
      <c r="I274" s="61"/>
      <c r="J274" s="61"/>
      <c r="K274" s="61"/>
      <c r="L274" s="61"/>
    </row>
    <row r="275" spans="5:12">
      <c r="E275" s="61"/>
      <c r="F275" s="61"/>
      <c r="G275" s="61"/>
      <c r="H275" s="61"/>
      <c r="I275" s="61"/>
      <c r="J275" s="61"/>
      <c r="K275" s="61"/>
      <c r="L275" s="61"/>
    </row>
    <row r="276" spans="5:12">
      <c r="E276" s="61"/>
      <c r="F276" s="61"/>
      <c r="G276" s="61"/>
      <c r="H276" s="61"/>
      <c r="I276" s="61"/>
      <c r="J276" s="61"/>
      <c r="K276" s="61"/>
      <c r="L276" s="61"/>
    </row>
    <row r="277" spans="5:12">
      <c r="E277" s="61"/>
      <c r="F277" s="61"/>
      <c r="G277" s="61"/>
      <c r="H277" s="61"/>
      <c r="I277" s="61"/>
      <c r="J277" s="61"/>
      <c r="K277" s="61"/>
      <c r="L277" s="61"/>
    </row>
    <row r="278" spans="5:12">
      <c r="E278" s="61"/>
      <c r="F278" s="61"/>
      <c r="G278" s="61"/>
      <c r="H278" s="61"/>
      <c r="I278" s="61"/>
      <c r="J278" s="61"/>
      <c r="K278" s="61"/>
      <c r="L278" s="61"/>
    </row>
    <row r="279" spans="5:12">
      <c r="E279" s="61"/>
      <c r="F279" s="61"/>
      <c r="G279" s="61"/>
      <c r="H279" s="61"/>
      <c r="I279" s="61"/>
      <c r="J279" s="61"/>
      <c r="K279" s="61"/>
      <c r="L279" s="61"/>
    </row>
    <row r="280" spans="5:12">
      <c r="E280" s="61"/>
      <c r="F280" s="61"/>
      <c r="G280" s="61"/>
      <c r="H280" s="61"/>
      <c r="I280" s="61"/>
      <c r="J280" s="61"/>
      <c r="K280" s="61"/>
      <c r="L280" s="61"/>
    </row>
    <row r="281" spans="5:12">
      <c r="E281" s="61"/>
      <c r="F281" s="61"/>
      <c r="G281" s="61"/>
      <c r="H281" s="61"/>
      <c r="I281" s="61"/>
      <c r="J281" s="61"/>
      <c r="K281" s="61"/>
      <c r="L281" s="61"/>
    </row>
    <row r="282" spans="5:12">
      <c r="E282" s="61"/>
      <c r="F282" s="61"/>
      <c r="G282" s="61"/>
      <c r="H282" s="61"/>
      <c r="I282" s="61"/>
      <c r="J282" s="61"/>
      <c r="K282" s="61"/>
      <c r="L282" s="61"/>
    </row>
  </sheetData>
  <mergeCells count="3">
    <mergeCell ref="E17:G17"/>
    <mergeCell ref="E99:G99"/>
    <mergeCell ref="E181:G18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D744B-2789-4117-965A-B6011E1A487F}">
  <dimension ref="A2:Y397"/>
  <sheetViews>
    <sheetView topLeftCell="A161" workbookViewId="0">
      <selection activeCell="H176" sqref="H176"/>
    </sheetView>
  </sheetViews>
  <sheetFormatPr defaultRowHeight="14.4"/>
  <cols>
    <col min="7" max="7" width="23.6640625" bestFit="1" customWidth="1"/>
    <col min="8" max="8" width="50.44140625" customWidth="1"/>
    <col min="9" max="9" width="0.33203125" customWidth="1"/>
    <col min="10" max="13" width="9.109375" hidden="1" customWidth="1"/>
    <col min="14" max="14" width="18.88671875" customWidth="1"/>
  </cols>
  <sheetData>
    <row r="2" spans="2:20">
      <c r="H2" s="20" t="s">
        <v>730</v>
      </c>
      <c r="I2" s="48"/>
      <c r="J2" s="48"/>
      <c r="K2" s="48"/>
      <c r="L2" s="48"/>
      <c r="M2" s="48"/>
      <c r="N2" s="48"/>
      <c r="O2" s="48"/>
    </row>
    <row r="3" spans="2:20">
      <c r="H3" s="20" t="s">
        <v>731</v>
      </c>
      <c r="I3" s="48"/>
      <c r="J3" s="48"/>
      <c r="K3" s="48"/>
      <c r="L3" s="48"/>
      <c r="M3" s="48"/>
      <c r="N3" s="48"/>
      <c r="O3" s="48"/>
    </row>
    <row r="4" spans="2:20">
      <c r="B4" s="1" t="s">
        <v>203</v>
      </c>
    </row>
    <row r="6" spans="2:20" ht="15" thickBot="1">
      <c r="B6" s="1" t="s">
        <v>1</v>
      </c>
      <c r="G6" s="9" t="s">
        <v>529</v>
      </c>
      <c r="N6" s="316" t="s">
        <v>959</v>
      </c>
      <c r="O6" s="316"/>
      <c r="P6" s="316"/>
      <c r="Q6" s="348"/>
      <c r="R6" s="348"/>
      <c r="S6" s="348"/>
      <c r="T6" s="348"/>
    </row>
    <row r="8" spans="2:20" ht="15" thickBot="1">
      <c r="B8" s="1" t="s">
        <v>2</v>
      </c>
      <c r="G8" s="9" t="s">
        <v>528</v>
      </c>
      <c r="H8" s="1"/>
    </row>
    <row r="10" spans="2:20" ht="15" thickBot="1">
      <c r="B10" s="118" t="s">
        <v>479</v>
      </c>
      <c r="C10" s="61"/>
      <c r="D10" s="61"/>
      <c r="E10" s="61"/>
      <c r="F10" s="61"/>
      <c r="G10" s="112">
        <v>47793</v>
      </c>
      <c r="H10" s="72">
        <v>61837.45</v>
      </c>
      <c r="I10" s="61"/>
      <c r="J10" s="61"/>
      <c r="K10" s="61"/>
      <c r="L10" s="61"/>
      <c r="M10" s="61"/>
      <c r="N10" s="313">
        <f>H10*1.049+4075</f>
        <v>68942.485049999988</v>
      </c>
    </row>
    <row r="11" spans="2:20">
      <c r="B11" s="118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2:20" ht="15" thickBot="1">
      <c r="B12" s="118" t="s">
        <v>480</v>
      </c>
      <c r="C12" s="61"/>
      <c r="D12" s="61"/>
      <c r="E12" s="61"/>
      <c r="F12" s="61"/>
      <c r="G12" s="112">
        <v>50320</v>
      </c>
      <c r="H12" s="72">
        <v>64859.07</v>
      </c>
      <c r="I12" s="61"/>
      <c r="J12" s="61"/>
      <c r="K12" s="61"/>
      <c r="L12" s="61"/>
      <c r="M12" s="61"/>
      <c r="N12" s="313">
        <f>H12*1.049+3033</f>
        <v>71070.16442999999</v>
      </c>
    </row>
    <row r="13" spans="2:20">
      <c r="B13" s="118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2:20" ht="15" thickBot="1">
      <c r="B14" s="118" t="s">
        <v>481</v>
      </c>
      <c r="C14" s="61"/>
      <c r="D14" s="61"/>
      <c r="E14" s="61"/>
      <c r="F14" s="61"/>
      <c r="G14" s="112">
        <v>55673</v>
      </c>
      <c r="H14" s="72">
        <v>69880.320000000007</v>
      </c>
      <c r="I14" s="61"/>
      <c r="J14" s="61"/>
      <c r="K14" s="61"/>
      <c r="L14" s="61"/>
      <c r="M14" s="61"/>
      <c r="N14" s="313">
        <f>H14*1.049+3305</f>
        <v>76609.455679999999</v>
      </c>
    </row>
    <row r="15" spans="2:20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2:20">
      <c r="B16" s="118" t="s">
        <v>239</v>
      </c>
      <c r="C16" s="61"/>
      <c r="D16" s="61"/>
      <c r="E16" s="375" t="s">
        <v>482</v>
      </c>
      <c r="F16" s="375"/>
      <c r="G16" s="375"/>
      <c r="H16" s="61"/>
      <c r="I16" s="61"/>
      <c r="J16" s="61"/>
      <c r="K16" s="61"/>
      <c r="L16" s="61"/>
      <c r="M16" s="61"/>
    </row>
    <row r="17" spans="1:25">
      <c r="B17" s="118"/>
      <c r="C17" s="61"/>
      <c r="D17" s="61"/>
      <c r="E17" s="61"/>
      <c r="F17" s="61"/>
      <c r="G17" s="65"/>
      <c r="H17" s="61"/>
      <c r="I17" s="61"/>
      <c r="J17" s="61"/>
      <c r="K17" s="61"/>
      <c r="L17" s="61"/>
      <c r="M17" s="61"/>
    </row>
    <row r="18" spans="1:25" ht="15" thickBot="1">
      <c r="A18">
        <v>1</v>
      </c>
      <c r="B18" s="118" t="s">
        <v>531</v>
      </c>
      <c r="C18" s="61"/>
      <c r="D18" s="61"/>
      <c r="E18" s="61"/>
      <c r="F18" s="61"/>
      <c r="G18" s="112">
        <v>7310</v>
      </c>
      <c r="H18" s="72">
        <f>SUM(G18*1.1557)</f>
        <v>8448.1669999999995</v>
      </c>
      <c r="I18" s="61"/>
      <c r="J18" s="61"/>
      <c r="K18" s="61"/>
      <c r="L18" s="61"/>
      <c r="M18" s="61"/>
      <c r="N18" s="313">
        <f t="shared" ref="N18:N81" si="0">H18*1.049</f>
        <v>8862.1271829999987</v>
      </c>
    </row>
    <row r="19" spans="1:25" ht="15.75" customHeight="1" thickBot="1">
      <c r="A19">
        <f>A18+1</f>
        <v>2</v>
      </c>
      <c r="B19" s="118" t="s">
        <v>486</v>
      </c>
      <c r="C19" s="61"/>
      <c r="D19" s="61"/>
      <c r="E19" s="61"/>
      <c r="F19" s="61"/>
      <c r="G19" s="112" t="s">
        <v>32</v>
      </c>
      <c r="H19" s="64" t="s">
        <v>9</v>
      </c>
      <c r="I19" s="61"/>
      <c r="J19" s="61"/>
      <c r="K19" s="61"/>
      <c r="L19" s="61"/>
      <c r="M19" s="61"/>
      <c r="N19" s="313"/>
      <c r="T19" s="377" t="s">
        <v>487</v>
      </c>
      <c r="U19" s="377"/>
      <c r="V19" s="377"/>
      <c r="W19" s="377"/>
      <c r="X19" s="377"/>
      <c r="Y19" s="377"/>
    </row>
    <row r="20" spans="1:25" ht="15" thickBot="1">
      <c r="A20">
        <f t="shared" ref="A20:A66" si="1">A19+1</f>
        <v>3</v>
      </c>
      <c r="B20" s="118" t="s">
        <v>488</v>
      </c>
      <c r="C20" s="61"/>
      <c r="D20" s="61"/>
      <c r="E20" s="61"/>
      <c r="F20" s="61"/>
      <c r="G20" s="112" t="s">
        <v>192</v>
      </c>
      <c r="H20" s="64" t="s">
        <v>57</v>
      </c>
      <c r="I20" s="61"/>
      <c r="J20" s="61"/>
      <c r="K20" s="61"/>
      <c r="L20" s="61"/>
      <c r="M20" s="61"/>
      <c r="N20" s="313"/>
      <c r="T20" s="377"/>
      <c r="U20" s="377"/>
      <c r="V20" s="377"/>
      <c r="W20" s="377"/>
      <c r="X20" s="377"/>
      <c r="Y20" s="377"/>
    </row>
    <row r="21" spans="1:25" ht="15" thickBot="1">
      <c r="A21">
        <f t="shared" si="1"/>
        <v>4</v>
      </c>
      <c r="B21" s="125" t="s">
        <v>536</v>
      </c>
      <c r="C21" s="61"/>
      <c r="D21" s="61"/>
      <c r="E21" s="61"/>
      <c r="F21" s="61"/>
      <c r="G21" s="112">
        <v>7991</v>
      </c>
      <c r="H21" s="72">
        <f>SUM(G21*1.1557)</f>
        <v>9235.198699999999</v>
      </c>
      <c r="I21" s="61"/>
      <c r="J21" s="61"/>
      <c r="K21" s="61"/>
      <c r="L21" s="61"/>
      <c r="M21" s="61"/>
      <c r="N21" s="313">
        <f t="shared" si="0"/>
        <v>9687.7234362999989</v>
      </c>
      <c r="T21" s="377"/>
      <c r="U21" s="377"/>
      <c r="V21" s="377"/>
      <c r="W21" s="377"/>
      <c r="X21" s="377"/>
      <c r="Y21" s="377"/>
    </row>
    <row r="22" spans="1:25" ht="15" thickBot="1">
      <c r="A22">
        <f t="shared" si="1"/>
        <v>5</v>
      </c>
      <c r="B22" s="118" t="s">
        <v>537</v>
      </c>
      <c r="C22" s="61"/>
      <c r="D22" s="61"/>
      <c r="E22" s="61"/>
      <c r="F22" s="61"/>
      <c r="G22" s="112" t="s">
        <v>32</v>
      </c>
      <c r="H22" s="64" t="s">
        <v>9</v>
      </c>
      <c r="I22" s="61"/>
      <c r="J22" s="61"/>
      <c r="K22" s="61"/>
      <c r="L22" s="61"/>
      <c r="M22" s="61"/>
      <c r="N22" s="313"/>
      <c r="T22" s="377"/>
      <c r="U22" s="377"/>
      <c r="V22" s="377"/>
      <c r="W22" s="377"/>
      <c r="X22" s="377"/>
      <c r="Y22" s="377"/>
    </row>
    <row r="23" spans="1:25" ht="15" thickBot="1">
      <c r="A23">
        <f>A22+1</f>
        <v>6</v>
      </c>
      <c r="B23" s="118" t="s">
        <v>538</v>
      </c>
      <c r="C23" s="61"/>
      <c r="D23" s="61"/>
      <c r="E23" s="61"/>
      <c r="F23" s="61"/>
      <c r="G23" s="112">
        <v>4200</v>
      </c>
      <c r="H23" s="72">
        <f>SUM(G23*1.1557)</f>
        <v>4853.9399999999996</v>
      </c>
      <c r="I23" s="61"/>
      <c r="J23" s="61"/>
      <c r="K23" s="61"/>
      <c r="L23" s="61"/>
      <c r="M23" s="61"/>
      <c r="N23" s="313">
        <f t="shared" si="0"/>
        <v>5091.7830599999988</v>
      </c>
    </row>
    <row r="24" spans="1:25" ht="15" thickBot="1">
      <c r="A24">
        <f t="shared" si="1"/>
        <v>7</v>
      </c>
      <c r="B24" s="118" t="s">
        <v>500</v>
      </c>
      <c r="C24" s="61"/>
      <c r="D24" s="61"/>
      <c r="E24" s="61"/>
      <c r="F24" s="61"/>
      <c r="G24" s="112" t="s">
        <v>192</v>
      </c>
      <c r="H24" s="64" t="s">
        <v>57</v>
      </c>
      <c r="I24" s="118"/>
      <c r="J24" s="61"/>
      <c r="K24" s="61"/>
      <c r="L24" s="61"/>
      <c r="M24" s="61"/>
      <c r="N24" s="313"/>
    </row>
    <row r="25" spans="1:25" ht="15" thickBot="1">
      <c r="A25">
        <f t="shared" si="1"/>
        <v>8</v>
      </c>
      <c r="B25" s="118" t="s">
        <v>501</v>
      </c>
      <c r="C25" s="61"/>
      <c r="D25" s="61"/>
      <c r="E25" s="61"/>
      <c r="F25" s="61"/>
      <c r="G25" s="112">
        <v>302</v>
      </c>
      <c r="H25" s="72">
        <f t="shared" ref="H25:H55" si="2">SUM(G25*1.1557)</f>
        <v>349.02139999999997</v>
      </c>
      <c r="I25" s="118"/>
      <c r="J25" s="61"/>
      <c r="K25" s="61"/>
      <c r="L25" s="61"/>
      <c r="M25" s="61"/>
      <c r="N25" s="313">
        <f t="shared" si="0"/>
        <v>366.12344859999996</v>
      </c>
    </row>
    <row r="26" spans="1:25" ht="15" thickBot="1">
      <c r="A26">
        <f t="shared" si="1"/>
        <v>9</v>
      </c>
      <c r="B26" s="118" t="s">
        <v>502</v>
      </c>
      <c r="C26" s="61"/>
      <c r="D26" s="61"/>
      <c r="E26" s="61"/>
      <c r="F26" s="61"/>
      <c r="G26" s="112">
        <v>5798</v>
      </c>
      <c r="H26" s="72">
        <f t="shared" si="2"/>
        <v>6700.7485999999999</v>
      </c>
      <c r="I26" s="118"/>
      <c r="J26" s="61"/>
      <c r="K26" s="61"/>
      <c r="L26" s="61"/>
      <c r="M26" s="61"/>
      <c r="N26" s="313">
        <f t="shared" si="0"/>
        <v>7029.0852813999991</v>
      </c>
    </row>
    <row r="27" spans="1:25" ht="15" thickBot="1">
      <c r="A27">
        <f t="shared" si="1"/>
        <v>10</v>
      </c>
      <c r="B27" s="118" t="s">
        <v>503</v>
      </c>
      <c r="C27" s="61"/>
      <c r="D27" s="61"/>
      <c r="E27" s="61"/>
      <c r="F27" s="61"/>
      <c r="G27" s="112">
        <v>149</v>
      </c>
      <c r="H27" s="72">
        <f t="shared" si="2"/>
        <v>172.19929999999999</v>
      </c>
      <c r="I27" s="61"/>
      <c r="J27" s="61"/>
      <c r="K27" s="61"/>
      <c r="L27" s="61"/>
      <c r="M27" s="61"/>
      <c r="N27" s="313">
        <f t="shared" si="0"/>
        <v>180.63706569999999</v>
      </c>
    </row>
    <row r="28" spans="1:25" ht="15" thickBot="1">
      <c r="A28">
        <f t="shared" si="1"/>
        <v>11</v>
      </c>
      <c r="B28" s="118" t="s">
        <v>504</v>
      </c>
      <c r="C28" s="61"/>
      <c r="D28" s="61"/>
      <c r="E28" s="61"/>
      <c r="F28" s="61"/>
      <c r="G28" s="112">
        <v>899</v>
      </c>
      <c r="H28" s="72">
        <f t="shared" si="2"/>
        <v>1038.9742999999999</v>
      </c>
      <c r="I28" s="61"/>
      <c r="J28" s="61"/>
      <c r="K28" s="61"/>
      <c r="L28" s="61"/>
      <c r="M28" s="61"/>
      <c r="N28" s="313">
        <f t="shared" si="0"/>
        <v>1089.8840406999998</v>
      </c>
    </row>
    <row r="29" spans="1:25" ht="15" thickBot="1">
      <c r="A29">
        <f t="shared" si="1"/>
        <v>12</v>
      </c>
      <c r="B29" s="118" t="s">
        <v>34</v>
      </c>
      <c r="C29" s="61"/>
      <c r="D29" s="61"/>
      <c r="E29" s="61"/>
      <c r="F29" s="61"/>
      <c r="G29" s="112">
        <v>668</v>
      </c>
      <c r="H29" s="72">
        <f t="shared" si="2"/>
        <v>772.00759999999991</v>
      </c>
      <c r="I29" s="61"/>
      <c r="J29" s="61"/>
      <c r="K29" s="61"/>
      <c r="L29" s="61"/>
      <c r="M29" s="61"/>
      <c r="N29" s="313">
        <f t="shared" si="0"/>
        <v>809.83597239999983</v>
      </c>
    </row>
    <row r="30" spans="1:25" ht="15" thickBot="1">
      <c r="A30">
        <f t="shared" si="1"/>
        <v>13</v>
      </c>
      <c r="B30" s="118" t="s">
        <v>37</v>
      </c>
      <c r="C30" s="61"/>
      <c r="D30" s="61"/>
      <c r="E30" s="61"/>
      <c r="F30" s="61"/>
      <c r="G30" s="112">
        <v>881</v>
      </c>
      <c r="H30" s="72">
        <f t="shared" si="2"/>
        <v>1018.1717</v>
      </c>
      <c r="I30" s="61"/>
      <c r="J30" s="61"/>
      <c r="K30" s="61"/>
      <c r="L30" s="61"/>
      <c r="M30" s="61"/>
      <c r="N30" s="313">
        <f t="shared" si="0"/>
        <v>1068.0621133</v>
      </c>
    </row>
    <row r="31" spans="1:25" ht="15" thickBot="1">
      <c r="A31">
        <f t="shared" si="1"/>
        <v>14</v>
      </c>
      <c r="B31" s="118" t="s">
        <v>39</v>
      </c>
      <c r="C31" s="61"/>
      <c r="D31" s="61"/>
      <c r="E31" s="61"/>
      <c r="F31" s="61"/>
      <c r="G31" s="112">
        <v>1414</v>
      </c>
      <c r="H31" s="72">
        <f t="shared" si="2"/>
        <v>1634.1597999999999</v>
      </c>
      <c r="I31" s="61"/>
      <c r="J31" s="61"/>
      <c r="K31" s="61"/>
      <c r="L31" s="61"/>
      <c r="M31" s="61"/>
      <c r="N31" s="313">
        <f t="shared" si="0"/>
        <v>1714.2336301999999</v>
      </c>
    </row>
    <row r="32" spans="1:25" ht="15" thickBot="1">
      <c r="A32">
        <f t="shared" si="1"/>
        <v>15</v>
      </c>
      <c r="B32" s="118" t="s">
        <v>505</v>
      </c>
      <c r="C32" s="61"/>
      <c r="D32" s="61"/>
      <c r="E32" s="61"/>
      <c r="F32" s="61"/>
      <c r="G32" s="112">
        <v>697</v>
      </c>
      <c r="H32" s="72">
        <f t="shared" si="2"/>
        <v>805.52289999999994</v>
      </c>
      <c r="I32" s="61"/>
      <c r="J32" s="61"/>
      <c r="K32" s="61"/>
      <c r="L32" s="61"/>
      <c r="M32" s="61"/>
      <c r="N32" s="313">
        <f t="shared" si="0"/>
        <v>844.99352209999984</v>
      </c>
    </row>
    <row r="33" spans="1:14" ht="15" thickBot="1">
      <c r="A33">
        <f t="shared" si="1"/>
        <v>16</v>
      </c>
      <c r="B33" s="118" t="s">
        <v>506</v>
      </c>
      <c r="C33" s="61"/>
      <c r="D33" s="61"/>
      <c r="E33" s="61"/>
      <c r="F33" s="61"/>
      <c r="G33" s="112">
        <v>45</v>
      </c>
      <c r="H33" s="72">
        <f t="shared" si="2"/>
        <v>52.006499999999996</v>
      </c>
      <c r="I33" s="61"/>
      <c r="J33" s="61"/>
      <c r="K33" s="61"/>
      <c r="L33" s="61"/>
      <c r="M33" s="61"/>
      <c r="N33" s="313">
        <f t="shared" si="0"/>
        <v>54.554818499999989</v>
      </c>
    </row>
    <row r="34" spans="1:14" ht="15" thickBot="1">
      <c r="A34">
        <f t="shared" si="1"/>
        <v>17</v>
      </c>
      <c r="B34" s="118" t="s">
        <v>507</v>
      </c>
      <c r="C34" s="61"/>
      <c r="D34" s="61"/>
      <c r="E34" s="61"/>
      <c r="F34" s="61"/>
      <c r="G34" s="112">
        <v>23</v>
      </c>
      <c r="H34" s="72">
        <f t="shared" si="2"/>
        <v>26.581099999999999</v>
      </c>
      <c r="I34" s="61"/>
      <c r="J34" s="61"/>
      <c r="K34" s="61"/>
      <c r="L34" s="61"/>
      <c r="M34" s="61"/>
      <c r="N34" s="313">
        <f t="shared" si="0"/>
        <v>27.883573899999998</v>
      </c>
    </row>
    <row r="35" spans="1:14" ht="15" thickBot="1">
      <c r="A35">
        <f t="shared" si="1"/>
        <v>18</v>
      </c>
      <c r="B35" s="61" t="s">
        <v>70</v>
      </c>
      <c r="C35" s="61"/>
      <c r="D35" s="61"/>
      <c r="E35" s="61"/>
      <c r="F35" s="61"/>
      <c r="G35" s="112">
        <v>64</v>
      </c>
      <c r="H35" s="72">
        <f t="shared" si="2"/>
        <v>73.964799999999997</v>
      </c>
      <c r="I35" s="61"/>
      <c r="J35" s="61"/>
      <c r="K35" s="61"/>
      <c r="L35" s="61"/>
      <c r="M35" s="61"/>
      <c r="N35" s="313">
        <f t="shared" si="0"/>
        <v>77.589075199999996</v>
      </c>
    </row>
    <row r="36" spans="1:14" ht="15" thickBot="1">
      <c r="A36">
        <f t="shared" si="1"/>
        <v>19</v>
      </c>
      <c r="B36" s="61" t="s">
        <v>72</v>
      </c>
      <c r="C36" s="61"/>
      <c r="D36" s="61"/>
      <c r="E36" s="61"/>
      <c r="F36" s="61"/>
      <c r="G36" s="112">
        <v>36</v>
      </c>
      <c r="H36" s="72">
        <f t="shared" si="2"/>
        <v>41.605199999999996</v>
      </c>
      <c r="I36" s="61"/>
      <c r="J36" s="61"/>
      <c r="K36" s="61"/>
      <c r="L36" s="61"/>
      <c r="M36" s="61"/>
      <c r="N36" s="313">
        <f t="shared" si="0"/>
        <v>43.643854799999993</v>
      </c>
    </row>
    <row r="37" spans="1:14" ht="15" thickBot="1">
      <c r="A37">
        <f t="shared" si="1"/>
        <v>20</v>
      </c>
      <c r="B37" s="61" t="s">
        <v>74</v>
      </c>
      <c r="C37" s="61"/>
      <c r="D37" s="61"/>
      <c r="E37" s="61"/>
      <c r="F37" s="61"/>
      <c r="G37" s="112">
        <v>55</v>
      </c>
      <c r="H37" s="72">
        <f t="shared" si="2"/>
        <v>63.563499999999998</v>
      </c>
      <c r="I37" s="61"/>
      <c r="J37" s="61"/>
      <c r="K37" s="61"/>
      <c r="L37" s="61"/>
      <c r="M37" s="61"/>
      <c r="N37" s="313">
        <f t="shared" si="0"/>
        <v>66.6781115</v>
      </c>
    </row>
    <row r="38" spans="1:14" ht="15" thickBot="1">
      <c r="A38">
        <f t="shared" si="1"/>
        <v>21</v>
      </c>
      <c r="B38" s="61" t="s">
        <v>76</v>
      </c>
      <c r="C38" s="61"/>
      <c r="D38" s="61"/>
      <c r="E38" s="61"/>
      <c r="F38" s="61"/>
      <c r="G38" s="112">
        <v>990</v>
      </c>
      <c r="H38" s="72">
        <f t="shared" si="2"/>
        <v>1144.143</v>
      </c>
      <c r="I38" s="61"/>
      <c r="J38" s="61"/>
      <c r="K38" s="61"/>
      <c r="L38" s="61"/>
      <c r="M38" s="61"/>
      <c r="N38" s="313">
        <f t="shared" si="0"/>
        <v>1200.206007</v>
      </c>
    </row>
    <row r="39" spans="1:14" ht="15" thickBot="1">
      <c r="A39">
        <f t="shared" si="1"/>
        <v>22</v>
      </c>
      <c r="B39" s="61" t="s">
        <v>510</v>
      </c>
      <c r="C39" s="61"/>
      <c r="D39" s="61"/>
      <c r="E39" s="61"/>
      <c r="F39" s="61"/>
      <c r="G39" s="112">
        <v>1800</v>
      </c>
      <c r="H39" s="72">
        <f t="shared" si="2"/>
        <v>2080.2599999999998</v>
      </c>
      <c r="I39" s="61"/>
      <c r="J39" s="61"/>
      <c r="K39" s="61"/>
      <c r="L39" s="61"/>
      <c r="M39" s="61"/>
      <c r="N39" s="313">
        <f t="shared" si="0"/>
        <v>2182.1927399999995</v>
      </c>
    </row>
    <row r="40" spans="1:14" ht="15" thickBot="1">
      <c r="A40">
        <f t="shared" si="1"/>
        <v>23</v>
      </c>
      <c r="B40" s="61" t="s">
        <v>91</v>
      </c>
      <c r="C40" s="61"/>
      <c r="D40" s="61"/>
      <c r="E40" s="61"/>
      <c r="F40" s="61"/>
      <c r="G40" s="112">
        <v>-75</v>
      </c>
      <c r="H40" s="72">
        <f t="shared" si="2"/>
        <v>-86.677499999999995</v>
      </c>
      <c r="I40" s="61"/>
      <c r="J40" s="61"/>
      <c r="K40" s="61"/>
      <c r="L40" s="61"/>
      <c r="M40" s="61"/>
      <c r="N40" s="313">
        <f t="shared" si="0"/>
        <v>-90.924697499999994</v>
      </c>
    </row>
    <row r="41" spans="1:14" ht="15" thickBot="1">
      <c r="A41">
        <f t="shared" si="1"/>
        <v>24</v>
      </c>
      <c r="B41" s="61" t="s">
        <v>93</v>
      </c>
      <c r="C41" s="61"/>
      <c r="D41" s="61"/>
      <c r="E41" s="61"/>
      <c r="F41" s="61"/>
      <c r="G41" s="112">
        <v>-75</v>
      </c>
      <c r="H41" s="72">
        <f t="shared" si="2"/>
        <v>-86.677499999999995</v>
      </c>
      <c r="I41" s="61"/>
      <c r="J41" s="61"/>
      <c r="K41" s="61"/>
      <c r="L41" s="61"/>
      <c r="M41" s="61"/>
      <c r="N41" s="313">
        <f t="shared" si="0"/>
        <v>-90.924697499999994</v>
      </c>
    </row>
    <row r="42" spans="1:14" ht="15" thickBot="1">
      <c r="A42">
        <f t="shared" si="1"/>
        <v>25</v>
      </c>
      <c r="B42" s="61" t="s">
        <v>99</v>
      </c>
      <c r="C42" s="61"/>
      <c r="D42" s="61"/>
      <c r="E42" s="61"/>
      <c r="F42" s="61"/>
      <c r="G42" s="112">
        <v>-40</v>
      </c>
      <c r="H42" s="72">
        <f t="shared" si="2"/>
        <v>-46.227999999999994</v>
      </c>
      <c r="I42" s="61"/>
      <c r="J42" s="61"/>
      <c r="K42" s="61"/>
      <c r="L42" s="61"/>
      <c r="M42" s="61"/>
      <c r="N42" s="313">
        <f t="shared" si="0"/>
        <v>-48.493171999999994</v>
      </c>
    </row>
    <row r="43" spans="1:14" ht="15" thickBot="1">
      <c r="A43">
        <f t="shared" si="1"/>
        <v>26</v>
      </c>
      <c r="B43" s="61" t="s">
        <v>101</v>
      </c>
      <c r="C43" s="61"/>
      <c r="D43" s="61"/>
      <c r="E43" s="61"/>
      <c r="F43" s="61"/>
      <c r="G43" s="112">
        <v>-40</v>
      </c>
      <c r="H43" s="72">
        <f t="shared" si="2"/>
        <v>-46.227999999999994</v>
      </c>
      <c r="I43" s="61"/>
      <c r="J43" s="61"/>
      <c r="K43" s="61"/>
      <c r="L43" s="61"/>
      <c r="M43" s="61"/>
      <c r="N43" s="313">
        <f t="shared" si="0"/>
        <v>-48.493171999999994</v>
      </c>
    </row>
    <row r="44" spans="1:14" ht="15" thickBot="1">
      <c r="A44">
        <f t="shared" si="1"/>
        <v>27</v>
      </c>
      <c r="B44" s="61" t="s">
        <v>114</v>
      </c>
      <c r="C44" s="61"/>
      <c r="D44" s="61"/>
      <c r="E44" s="61"/>
      <c r="F44" s="61"/>
      <c r="G44" s="112">
        <v>3359</v>
      </c>
      <c r="H44" s="72">
        <f t="shared" si="2"/>
        <v>3881.9962999999998</v>
      </c>
      <c r="I44" s="61"/>
      <c r="J44" s="61"/>
      <c r="K44" s="61"/>
      <c r="L44" s="61"/>
      <c r="M44" s="61"/>
      <c r="N44" s="313">
        <f t="shared" si="0"/>
        <v>4072.2141186999997</v>
      </c>
    </row>
    <row r="45" spans="1:14" ht="15" thickBot="1">
      <c r="A45">
        <f t="shared" si="1"/>
        <v>28</v>
      </c>
      <c r="B45" s="61" t="s">
        <v>116</v>
      </c>
      <c r="C45" s="61"/>
      <c r="D45" s="61"/>
      <c r="E45" s="61"/>
      <c r="F45" s="61"/>
      <c r="G45" s="112">
        <v>4636</v>
      </c>
      <c r="H45" s="72">
        <f t="shared" si="2"/>
        <v>5357.8251999999993</v>
      </c>
      <c r="I45" s="61"/>
      <c r="J45" s="61"/>
      <c r="K45" s="61"/>
      <c r="L45" s="61"/>
      <c r="M45" s="61"/>
      <c r="N45" s="313">
        <f t="shared" si="0"/>
        <v>5620.358634799999</v>
      </c>
    </row>
    <row r="46" spans="1:14" ht="15" thickBot="1">
      <c r="A46">
        <f t="shared" si="1"/>
        <v>29</v>
      </c>
      <c r="B46" s="61" t="s">
        <v>120</v>
      </c>
      <c r="C46" s="61"/>
      <c r="D46" s="61"/>
      <c r="E46" s="61"/>
      <c r="F46" s="61"/>
      <c r="G46" s="112">
        <v>2478</v>
      </c>
      <c r="H46" s="72">
        <f t="shared" si="2"/>
        <v>2863.8245999999999</v>
      </c>
      <c r="I46" s="61"/>
      <c r="J46" s="61"/>
      <c r="K46" s="61"/>
      <c r="L46" s="61"/>
      <c r="M46" s="61"/>
      <c r="N46" s="313">
        <f t="shared" si="0"/>
        <v>3004.1520053999998</v>
      </c>
    </row>
    <row r="47" spans="1:14" ht="15" thickBot="1">
      <c r="A47">
        <f t="shared" si="1"/>
        <v>30</v>
      </c>
      <c r="B47" s="61" t="s">
        <v>122</v>
      </c>
      <c r="C47" s="61"/>
      <c r="D47" s="61"/>
      <c r="E47" s="61"/>
      <c r="F47" s="61"/>
      <c r="G47" s="112">
        <v>3032</v>
      </c>
      <c r="H47" s="72">
        <f t="shared" si="2"/>
        <v>3504.0823999999998</v>
      </c>
      <c r="I47" s="61"/>
      <c r="J47" s="61"/>
      <c r="K47" s="61"/>
      <c r="L47" s="61"/>
      <c r="M47" s="61"/>
      <c r="N47" s="313">
        <f t="shared" si="0"/>
        <v>3675.7824375999994</v>
      </c>
    </row>
    <row r="48" spans="1:14" ht="15" thickBot="1">
      <c r="A48">
        <f t="shared" si="1"/>
        <v>31</v>
      </c>
      <c r="B48" s="61" t="s">
        <v>124</v>
      </c>
      <c r="C48" s="61"/>
      <c r="D48" s="61"/>
      <c r="E48" s="61"/>
      <c r="F48" s="61"/>
      <c r="G48" s="112">
        <v>3188</v>
      </c>
      <c r="H48" s="72">
        <f t="shared" si="2"/>
        <v>3684.3715999999999</v>
      </c>
      <c r="I48" s="61"/>
      <c r="J48" s="61"/>
      <c r="K48" s="61"/>
      <c r="L48" s="61"/>
      <c r="M48" s="61"/>
      <c r="N48" s="313">
        <f t="shared" si="0"/>
        <v>3864.9058083999998</v>
      </c>
    </row>
    <row r="49" spans="1:15" ht="15" thickBot="1">
      <c r="A49">
        <f t="shared" si="1"/>
        <v>32</v>
      </c>
      <c r="B49" s="61" t="s">
        <v>126</v>
      </c>
      <c r="C49" s="61"/>
      <c r="D49" s="61"/>
      <c r="E49" s="61"/>
      <c r="F49" s="61"/>
      <c r="G49" s="112">
        <v>3998</v>
      </c>
      <c r="H49" s="72">
        <f t="shared" si="2"/>
        <v>4620.4885999999997</v>
      </c>
      <c r="I49" s="61"/>
      <c r="J49" s="61"/>
      <c r="K49" s="61"/>
      <c r="L49" s="61"/>
      <c r="M49" s="61"/>
      <c r="N49" s="313">
        <f t="shared" si="0"/>
        <v>4846.8925413999996</v>
      </c>
    </row>
    <row r="50" spans="1:15" ht="15" thickBot="1">
      <c r="A50">
        <f t="shared" si="1"/>
        <v>33</v>
      </c>
      <c r="B50" s="118" t="s">
        <v>511</v>
      </c>
      <c r="C50" s="61"/>
      <c r="D50" s="61"/>
      <c r="E50" s="61"/>
      <c r="F50" s="61"/>
      <c r="G50" s="112">
        <v>1346</v>
      </c>
      <c r="H50" s="72">
        <f t="shared" si="2"/>
        <v>1555.5721999999998</v>
      </c>
      <c r="I50" s="61"/>
      <c r="J50" s="61"/>
      <c r="K50" s="61"/>
      <c r="L50" s="61"/>
      <c r="M50" s="61"/>
      <c r="N50" s="313">
        <f t="shared" si="0"/>
        <v>1631.7952377999998</v>
      </c>
    </row>
    <row r="51" spans="1:15" ht="15" thickBot="1">
      <c r="A51">
        <f t="shared" si="1"/>
        <v>34</v>
      </c>
      <c r="B51" s="118" t="s">
        <v>512</v>
      </c>
      <c r="C51" s="61"/>
      <c r="D51" s="61"/>
      <c r="E51" s="61"/>
      <c r="F51" s="61"/>
      <c r="G51" s="112">
        <v>40</v>
      </c>
      <c r="H51" s="72">
        <f t="shared" si="2"/>
        <v>46.227999999999994</v>
      </c>
      <c r="I51" s="61"/>
      <c r="J51" s="61"/>
      <c r="K51" s="61"/>
      <c r="L51" s="61"/>
      <c r="M51" s="61"/>
      <c r="N51" s="313">
        <f t="shared" si="0"/>
        <v>48.493171999999994</v>
      </c>
    </row>
    <row r="52" spans="1:15" ht="15" thickBot="1">
      <c r="A52">
        <f t="shared" si="1"/>
        <v>35</v>
      </c>
      <c r="B52" s="118" t="s">
        <v>513</v>
      </c>
      <c r="C52" s="61"/>
      <c r="D52" s="61"/>
      <c r="E52" s="61"/>
      <c r="F52" s="61"/>
      <c r="G52" s="112">
        <v>35</v>
      </c>
      <c r="H52" s="72">
        <f t="shared" si="2"/>
        <v>40.4495</v>
      </c>
      <c r="I52" s="61"/>
      <c r="J52" s="61"/>
      <c r="K52" s="61"/>
      <c r="L52" s="61"/>
      <c r="M52" s="61"/>
      <c r="N52" s="313">
        <f t="shared" si="0"/>
        <v>42.431525499999999</v>
      </c>
    </row>
    <row r="53" spans="1:15" ht="15" thickBot="1">
      <c r="A53">
        <f t="shared" si="1"/>
        <v>36</v>
      </c>
      <c r="B53" s="118" t="s">
        <v>514</v>
      </c>
      <c r="C53" s="61"/>
      <c r="D53" s="61"/>
      <c r="E53" s="61"/>
      <c r="F53" s="61"/>
      <c r="G53" s="112">
        <v>6500</v>
      </c>
      <c r="H53" s="72">
        <f t="shared" si="2"/>
        <v>7512.0499999999993</v>
      </c>
      <c r="I53" s="61"/>
      <c r="J53" s="61"/>
      <c r="K53" s="61"/>
      <c r="L53" s="61"/>
      <c r="M53" s="61"/>
      <c r="N53" s="313">
        <f t="shared" si="0"/>
        <v>7880.140449999999</v>
      </c>
    </row>
    <row r="54" spans="1:15" ht="15" thickBot="1">
      <c r="A54">
        <f t="shared" si="1"/>
        <v>37</v>
      </c>
      <c r="B54" s="61" t="s">
        <v>516</v>
      </c>
      <c r="C54" s="61"/>
      <c r="D54" s="61"/>
      <c r="E54" s="61"/>
      <c r="F54" s="61"/>
      <c r="G54" s="112" t="s">
        <v>32</v>
      </c>
      <c r="H54" s="64" t="s">
        <v>9</v>
      </c>
      <c r="I54" s="61"/>
      <c r="J54" s="61"/>
      <c r="K54" s="61"/>
      <c r="L54" s="61"/>
      <c r="M54" s="61"/>
      <c r="N54" s="313"/>
    </row>
    <row r="55" spans="1:15" ht="15" thickBot="1">
      <c r="A55">
        <f t="shared" si="1"/>
        <v>38</v>
      </c>
      <c r="B55" s="61" t="s">
        <v>517</v>
      </c>
      <c r="C55" s="61"/>
      <c r="D55" s="61"/>
      <c r="E55" s="61"/>
      <c r="F55" s="61"/>
      <c r="G55" s="112">
        <v>9210</v>
      </c>
      <c r="H55" s="72">
        <f t="shared" si="2"/>
        <v>10643.996999999999</v>
      </c>
      <c r="I55" s="61"/>
      <c r="J55" s="61"/>
      <c r="K55" s="61"/>
      <c r="L55" s="61"/>
      <c r="M55" s="61"/>
      <c r="N55" s="313">
        <f t="shared" si="0"/>
        <v>11165.552852999999</v>
      </c>
    </row>
    <row r="56" spans="1:15" ht="15" thickBot="1">
      <c r="A56">
        <f t="shared" si="1"/>
        <v>39</v>
      </c>
      <c r="B56" s="61" t="s">
        <v>518</v>
      </c>
      <c r="C56" s="61"/>
      <c r="D56" s="61"/>
      <c r="E56" s="61"/>
      <c r="F56" s="61"/>
      <c r="G56" s="112" t="s">
        <v>32</v>
      </c>
      <c r="H56" s="64" t="s">
        <v>9</v>
      </c>
      <c r="I56" s="61"/>
      <c r="J56" s="61"/>
      <c r="K56" s="61"/>
      <c r="L56" s="61"/>
      <c r="M56" s="61"/>
      <c r="N56" s="313"/>
    </row>
    <row r="57" spans="1:15" ht="15" thickBot="1">
      <c r="A57">
        <f t="shared" si="1"/>
        <v>40</v>
      </c>
      <c r="B57" s="61" t="s">
        <v>519</v>
      </c>
      <c r="C57" s="61"/>
      <c r="D57" s="61"/>
      <c r="E57" s="61"/>
      <c r="F57" s="61"/>
      <c r="G57" s="112" t="s">
        <v>32</v>
      </c>
      <c r="H57" s="64" t="s">
        <v>9</v>
      </c>
      <c r="I57" s="61"/>
      <c r="J57" s="61"/>
      <c r="K57" s="61"/>
      <c r="L57" s="61"/>
      <c r="M57" s="61"/>
      <c r="N57" s="313"/>
    </row>
    <row r="58" spans="1:15" ht="15" thickBot="1">
      <c r="A58">
        <f t="shared" si="1"/>
        <v>41</v>
      </c>
      <c r="B58" s="61" t="s">
        <v>150</v>
      </c>
      <c r="C58" s="61"/>
      <c r="D58" s="61"/>
      <c r="E58" s="61"/>
      <c r="F58" s="61"/>
      <c r="G58" s="112">
        <v>775</v>
      </c>
      <c r="H58" s="72">
        <f t="shared" ref="H58:H68" si="3">SUM(G58*1.1557)</f>
        <v>895.6674999999999</v>
      </c>
      <c r="I58" s="61"/>
      <c r="J58" s="61"/>
      <c r="K58" s="61"/>
      <c r="L58" s="61"/>
      <c r="M58" s="61"/>
      <c r="N58" s="313">
        <f t="shared" si="0"/>
        <v>939.55520749999982</v>
      </c>
      <c r="O58" t="s">
        <v>740</v>
      </c>
    </row>
    <row r="59" spans="1:15" ht="15" thickBot="1">
      <c r="A59">
        <f t="shared" si="1"/>
        <v>42</v>
      </c>
      <c r="B59" s="61" t="s">
        <v>152</v>
      </c>
      <c r="C59" s="61"/>
      <c r="D59" s="61"/>
      <c r="E59" s="61"/>
      <c r="F59" s="61"/>
      <c r="G59" s="112">
        <v>675</v>
      </c>
      <c r="H59" s="72">
        <f t="shared" si="3"/>
        <v>780.09749999999997</v>
      </c>
      <c r="I59" s="61"/>
      <c r="J59" s="61"/>
      <c r="K59" s="61"/>
      <c r="L59" s="61"/>
      <c r="M59" s="61"/>
      <c r="N59" s="313">
        <f t="shared" si="0"/>
        <v>818.32227749999993</v>
      </c>
    </row>
    <row r="60" spans="1:15" ht="15" thickBot="1">
      <c r="A60">
        <f t="shared" si="1"/>
        <v>43</v>
      </c>
      <c r="B60" s="61" t="s">
        <v>154</v>
      </c>
      <c r="C60" s="61"/>
      <c r="D60" s="61"/>
      <c r="E60" s="61"/>
      <c r="F60" s="61"/>
      <c r="G60" s="112">
        <v>925</v>
      </c>
      <c r="H60" s="72">
        <f t="shared" si="3"/>
        <v>1069.0225</v>
      </c>
      <c r="I60" s="61"/>
      <c r="J60" s="61"/>
      <c r="K60" s="61"/>
      <c r="L60" s="61"/>
      <c r="M60" s="61"/>
      <c r="N60" s="313">
        <f t="shared" si="0"/>
        <v>1121.4046025</v>
      </c>
    </row>
    <row r="61" spans="1:15" ht="15" thickBot="1">
      <c r="A61">
        <f t="shared" si="1"/>
        <v>44</v>
      </c>
      <c r="B61" s="61" t="s">
        <v>156</v>
      </c>
      <c r="C61" s="61"/>
      <c r="D61" s="61"/>
      <c r="E61" s="61"/>
      <c r="F61" s="61"/>
      <c r="G61" s="112">
        <v>1125</v>
      </c>
      <c r="H61" s="72">
        <f t="shared" si="3"/>
        <v>1300.1624999999999</v>
      </c>
      <c r="I61" s="61"/>
      <c r="J61" s="61"/>
      <c r="K61" s="61"/>
      <c r="L61" s="61"/>
      <c r="M61" s="61"/>
      <c r="N61" s="313">
        <f t="shared" si="0"/>
        <v>1363.8704624999998</v>
      </c>
    </row>
    <row r="62" spans="1:15" ht="15" thickBot="1">
      <c r="A62">
        <f t="shared" si="1"/>
        <v>45</v>
      </c>
      <c r="B62" s="61" t="s">
        <v>157</v>
      </c>
      <c r="C62" s="61"/>
      <c r="D62" s="61"/>
      <c r="E62" s="61"/>
      <c r="F62" s="61"/>
      <c r="G62" s="112">
        <v>1525</v>
      </c>
      <c r="H62" s="72">
        <f t="shared" si="3"/>
        <v>1762.4424999999999</v>
      </c>
      <c r="I62" s="61"/>
      <c r="J62" s="61"/>
      <c r="K62" s="61"/>
      <c r="L62" s="61"/>
      <c r="M62" s="61"/>
      <c r="N62" s="313">
        <f t="shared" si="0"/>
        <v>1848.8021824999998</v>
      </c>
    </row>
    <row r="63" spans="1:15" ht="15" thickBot="1">
      <c r="A63">
        <f t="shared" si="1"/>
        <v>46</v>
      </c>
      <c r="B63" s="61" t="s">
        <v>158</v>
      </c>
      <c r="C63" s="61"/>
      <c r="D63" s="61"/>
      <c r="E63" s="61"/>
      <c r="F63" s="61"/>
      <c r="G63" s="112">
        <v>1688</v>
      </c>
      <c r="H63" s="72">
        <f t="shared" si="3"/>
        <v>1950.8216</v>
      </c>
      <c r="I63" s="61"/>
      <c r="J63" s="61"/>
      <c r="K63" s="61"/>
      <c r="L63" s="61"/>
      <c r="M63" s="61"/>
      <c r="N63" s="313">
        <f t="shared" si="0"/>
        <v>2046.4118583999998</v>
      </c>
      <c r="O63" t="s">
        <v>159</v>
      </c>
    </row>
    <row r="64" spans="1:15" ht="15" thickBot="1">
      <c r="A64">
        <f t="shared" si="1"/>
        <v>47</v>
      </c>
      <c r="B64" s="61" t="s">
        <v>160</v>
      </c>
      <c r="C64" s="61"/>
      <c r="D64" s="61"/>
      <c r="E64" s="61"/>
      <c r="F64" s="61"/>
      <c r="G64" s="112">
        <v>1860</v>
      </c>
      <c r="H64" s="72">
        <f t="shared" si="3"/>
        <v>2149.6019999999999</v>
      </c>
      <c r="I64" s="61"/>
      <c r="J64" s="61"/>
      <c r="K64" s="61"/>
      <c r="L64" s="61"/>
      <c r="M64" s="61"/>
      <c r="N64" s="313">
        <f t="shared" si="0"/>
        <v>2254.9324979999997</v>
      </c>
    </row>
    <row r="65" spans="1:15" ht="15" thickBot="1">
      <c r="A65">
        <f t="shared" si="1"/>
        <v>48</v>
      </c>
      <c r="B65" s="61" t="s">
        <v>161</v>
      </c>
      <c r="C65" s="61"/>
      <c r="D65" s="61"/>
      <c r="E65" s="61"/>
      <c r="F65" s="61"/>
      <c r="G65" s="112">
        <v>1998</v>
      </c>
      <c r="H65" s="72">
        <f t="shared" si="3"/>
        <v>2309.0886</v>
      </c>
      <c r="I65" s="61"/>
      <c r="J65" s="61"/>
      <c r="K65" s="61"/>
      <c r="L65" s="61"/>
      <c r="M65" s="61"/>
      <c r="N65" s="313">
        <f t="shared" si="0"/>
        <v>2422.2339413999998</v>
      </c>
    </row>
    <row r="66" spans="1:15" ht="15" thickBot="1">
      <c r="A66">
        <f t="shared" si="1"/>
        <v>49</v>
      </c>
      <c r="B66" s="61" t="s">
        <v>162</v>
      </c>
      <c r="C66" s="61"/>
      <c r="D66" s="61"/>
      <c r="E66" s="61"/>
      <c r="F66" s="61"/>
      <c r="G66" s="112">
        <v>2131</v>
      </c>
      <c r="H66" s="72">
        <f t="shared" si="3"/>
        <v>2462.7966999999999</v>
      </c>
      <c r="I66" s="61"/>
      <c r="J66" s="61"/>
      <c r="K66" s="61"/>
      <c r="L66" s="61"/>
      <c r="M66" s="61"/>
      <c r="N66" s="313">
        <f t="shared" si="0"/>
        <v>2583.4737382999997</v>
      </c>
    </row>
    <row r="67" spans="1:15" ht="15" thickBot="1">
      <c r="A67">
        <v>50</v>
      </c>
      <c r="B67" s="61" t="s">
        <v>167</v>
      </c>
      <c r="C67" s="61"/>
      <c r="D67" s="61"/>
      <c r="E67" s="61"/>
      <c r="F67" s="61"/>
      <c r="G67" s="112">
        <v>2021</v>
      </c>
      <c r="H67" s="72">
        <f t="shared" si="3"/>
        <v>2335.6696999999999</v>
      </c>
      <c r="I67" s="61"/>
      <c r="J67" s="61"/>
      <c r="K67" s="61"/>
      <c r="L67" s="61"/>
      <c r="M67" s="61"/>
      <c r="N67" s="313">
        <f t="shared" si="0"/>
        <v>2450.1175152999999</v>
      </c>
    </row>
    <row r="68" spans="1:15" ht="15" thickBot="1">
      <c r="A68">
        <v>51</v>
      </c>
      <c r="B68" s="61" t="s">
        <v>344</v>
      </c>
      <c r="C68" s="61"/>
      <c r="D68" s="61"/>
      <c r="E68" s="61"/>
      <c r="F68" s="61"/>
      <c r="G68" s="112">
        <v>40</v>
      </c>
      <c r="H68" s="72">
        <f t="shared" si="3"/>
        <v>46.227999999999994</v>
      </c>
      <c r="I68" s="61"/>
      <c r="J68" s="61"/>
      <c r="K68" s="61"/>
      <c r="L68" s="61"/>
      <c r="M68" s="61"/>
      <c r="N68" s="313">
        <f t="shared" si="0"/>
        <v>48.493171999999994</v>
      </c>
    </row>
    <row r="69" spans="1:15" ht="15" thickBot="1">
      <c r="A69">
        <v>52</v>
      </c>
      <c r="B69" s="61" t="s">
        <v>542</v>
      </c>
      <c r="C69" s="61"/>
      <c r="D69" s="61"/>
      <c r="E69" s="61"/>
      <c r="F69" s="61"/>
      <c r="G69" s="112" t="s">
        <v>32</v>
      </c>
      <c r="H69" s="64" t="s">
        <v>9</v>
      </c>
      <c r="I69" s="61"/>
      <c r="J69" s="61"/>
      <c r="K69" s="61"/>
      <c r="L69" s="61"/>
      <c r="M69" s="61"/>
      <c r="N69" s="313"/>
    </row>
    <row r="70" spans="1:15" ht="15" thickBot="1">
      <c r="A70">
        <v>53</v>
      </c>
      <c r="B70" s="61" t="s">
        <v>523</v>
      </c>
      <c r="C70" s="61"/>
      <c r="D70" s="61"/>
      <c r="E70" s="61"/>
      <c r="F70" s="61"/>
      <c r="G70" s="112" t="s">
        <v>32</v>
      </c>
      <c r="H70" s="64" t="s">
        <v>9</v>
      </c>
      <c r="I70" s="61"/>
      <c r="J70" s="61"/>
      <c r="K70" s="61"/>
      <c r="L70" s="61"/>
      <c r="M70" s="61"/>
      <c r="N70" s="313"/>
      <c r="O70" t="s">
        <v>524</v>
      </c>
    </row>
    <row r="71" spans="1:15" ht="15" thickBot="1">
      <c r="A71">
        <v>54</v>
      </c>
      <c r="B71" s="61" t="s">
        <v>525</v>
      </c>
      <c r="C71" s="61"/>
      <c r="D71" s="61"/>
      <c r="E71" s="61"/>
      <c r="F71" s="61"/>
      <c r="G71" s="112" t="s">
        <v>32</v>
      </c>
      <c r="H71" s="64" t="s">
        <v>9</v>
      </c>
      <c r="I71" s="61"/>
      <c r="J71" s="61"/>
      <c r="K71" s="61"/>
      <c r="L71" s="61"/>
      <c r="M71" s="61"/>
      <c r="N71" s="313"/>
      <c r="O71" t="s">
        <v>526</v>
      </c>
    </row>
    <row r="72" spans="1:15" ht="15" thickBot="1">
      <c r="A72">
        <v>55</v>
      </c>
      <c r="B72" s="61" t="s">
        <v>527</v>
      </c>
      <c r="C72" s="61"/>
      <c r="D72" s="61"/>
      <c r="E72" s="61"/>
      <c r="F72" s="61"/>
      <c r="G72" s="112">
        <v>367</v>
      </c>
      <c r="H72" s="72">
        <f t="shared" ref="H72:H86" si="4">SUM(G72*1.1557)</f>
        <v>424.14189999999996</v>
      </c>
      <c r="I72" s="61"/>
      <c r="J72" s="61"/>
      <c r="K72" s="61"/>
      <c r="L72" s="61"/>
      <c r="M72" s="61"/>
      <c r="N72" s="313">
        <f t="shared" si="0"/>
        <v>444.92485309999995</v>
      </c>
    </row>
    <row r="73" spans="1:15" ht="15" thickBot="1">
      <c r="A73">
        <v>56</v>
      </c>
      <c r="B73" s="61" t="s">
        <v>555</v>
      </c>
      <c r="C73" s="61"/>
      <c r="D73" s="61"/>
      <c r="E73" s="61"/>
      <c r="F73" s="61"/>
      <c r="G73" s="119">
        <v>431</v>
      </c>
      <c r="H73" s="72">
        <f t="shared" si="4"/>
        <v>498.10669999999999</v>
      </c>
      <c r="I73" s="61"/>
      <c r="J73" s="61"/>
      <c r="K73" s="61"/>
      <c r="L73" s="61"/>
      <c r="M73" s="61"/>
      <c r="N73" s="313">
        <f t="shared" si="0"/>
        <v>522.51392829999998</v>
      </c>
    </row>
    <row r="74" spans="1:15" ht="15" thickBot="1">
      <c r="A74">
        <v>57</v>
      </c>
      <c r="B74" s="61" t="s">
        <v>556</v>
      </c>
      <c r="C74" s="61"/>
      <c r="D74" s="61"/>
      <c r="E74" s="61"/>
      <c r="F74" s="61"/>
      <c r="G74" s="119">
        <v>280</v>
      </c>
      <c r="H74" s="72">
        <f t="shared" si="4"/>
        <v>323.596</v>
      </c>
      <c r="I74" s="61"/>
      <c r="J74" s="61"/>
      <c r="K74" s="61"/>
      <c r="L74" s="61"/>
      <c r="M74" s="61"/>
      <c r="N74" s="313">
        <f t="shared" si="0"/>
        <v>339.45220399999999</v>
      </c>
    </row>
    <row r="75" spans="1:15" ht="15" thickBot="1">
      <c r="A75">
        <v>58</v>
      </c>
      <c r="B75" s="61" t="s">
        <v>186</v>
      </c>
      <c r="C75" s="61"/>
      <c r="D75" s="61"/>
      <c r="E75" s="61"/>
      <c r="F75" s="61"/>
      <c r="G75" s="119">
        <v>2467</v>
      </c>
      <c r="H75" s="72">
        <f t="shared" si="4"/>
        <v>2851.1118999999999</v>
      </c>
      <c r="I75" s="61"/>
      <c r="J75" s="61"/>
      <c r="K75" s="61"/>
      <c r="L75" s="61"/>
      <c r="M75" s="61"/>
      <c r="N75" s="313">
        <f t="shared" si="0"/>
        <v>2990.8163830999997</v>
      </c>
    </row>
    <row r="76" spans="1:15" ht="15" thickBot="1">
      <c r="A76">
        <v>59</v>
      </c>
      <c r="B76" s="61" t="s">
        <v>185</v>
      </c>
      <c r="C76" s="61"/>
      <c r="D76" s="61"/>
      <c r="E76" s="61"/>
      <c r="F76" s="61"/>
      <c r="G76" s="119">
        <v>215</v>
      </c>
      <c r="H76" s="72">
        <f t="shared" si="4"/>
        <v>248.47549999999998</v>
      </c>
      <c r="I76" s="61"/>
      <c r="J76" s="61"/>
      <c r="K76" s="61"/>
      <c r="L76" s="61"/>
      <c r="M76" s="61"/>
      <c r="N76" s="313">
        <f t="shared" si="0"/>
        <v>260.65079949999995</v>
      </c>
    </row>
    <row r="77" spans="1:15" ht="15" thickBot="1">
      <c r="A77">
        <v>60</v>
      </c>
      <c r="B77" s="61" t="s">
        <v>557</v>
      </c>
      <c r="C77" s="61"/>
      <c r="D77" s="61"/>
      <c r="E77" s="61"/>
      <c r="F77" s="61"/>
      <c r="G77" s="119">
        <v>7631</v>
      </c>
      <c r="H77" s="72">
        <f t="shared" si="4"/>
        <v>8819.1466999999993</v>
      </c>
      <c r="I77" s="61"/>
      <c r="J77" s="61"/>
      <c r="K77" s="61"/>
      <c r="L77" s="61"/>
      <c r="M77" s="61"/>
      <c r="N77" s="313">
        <f t="shared" si="0"/>
        <v>9251.2848882999988</v>
      </c>
    </row>
    <row r="78" spans="1:15" ht="15" thickBot="1">
      <c r="A78">
        <v>61</v>
      </c>
      <c r="B78" s="61" t="s">
        <v>558</v>
      </c>
      <c r="C78" s="61"/>
      <c r="D78" s="61"/>
      <c r="E78" s="61"/>
      <c r="F78" s="61"/>
      <c r="G78" s="119">
        <v>1203</v>
      </c>
      <c r="H78" s="72">
        <f t="shared" si="4"/>
        <v>1390.3071</v>
      </c>
      <c r="I78" s="61"/>
      <c r="J78" s="61"/>
      <c r="K78" s="61"/>
      <c r="L78" s="61"/>
      <c r="M78" s="61"/>
      <c r="N78" s="313">
        <f t="shared" si="0"/>
        <v>1458.4321478999998</v>
      </c>
    </row>
    <row r="79" spans="1:15" ht="15" thickBot="1">
      <c r="A79">
        <v>62</v>
      </c>
      <c r="B79" s="61" t="s">
        <v>559</v>
      </c>
      <c r="C79" s="61"/>
      <c r="D79" s="61"/>
      <c r="E79" s="61"/>
      <c r="F79" s="61"/>
      <c r="G79" s="119">
        <v>4167</v>
      </c>
      <c r="H79" s="72">
        <f t="shared" si="4"/>
        <v>4815.8018999999995</v>
      </c>
      <c r="I79" s="61"/>
      <c r="J79" s="61"/>
      <c r="K79" s="61"/>
      <c r="L79" s="61"/>
      <c r="M79" s="61"/>
      <c r="N79" s="313">
        <f t="shared" si="0"/>
        <v>5051.7761930999995</v>
      </c>
    </row>
    <row r="80" spans="1:15" ht="15" thickBot="1">
      <c r="A80">
        <v>63</v>
      </c>
      <c r="B80" s="61" t="s">
        <v>560</v>
      </c>
      <c r="C80" s="61"/>
      <c r="D80" s="61"/>
      <c r="E80" s="61"/>
      <c r="F80" s="61"/>
      <c r="G80" s="119">
        <v>4398</v>
      </c>
      <c r="H80" s="72">
        <f t="shared" si="4"/>
        <v>5082.7685999999994</v>
      </c>
      <c r="I80" s="61"/>
      <c r="J80" s="61"/>
      <c r="K80" s="61"/>
      <c r="L80" s="61"/>
      <c r="M80" s="61"/>
      <c r="N80" s="313">
        <f t="shared" si="0"/>
        <v>5331.8242613999992</v>
      </c>
    </row>
    <row r="81" spans="1:20" ht="15" thickBot="1">
      <c r="A81">
        <v>64</v>
      </c>
      <c r="B81" s="61" t="s">
        <v>561</v>
      </c>
      <c r="C81" s="61"/>
      <c r="D81" s="61"/>
      <c r="E81" s="61"/>
      <c r="F81" s="61"/>
      <c r="G81" s="119">
        <v>5912</v>
      </c>
      <c r="H81" s="72">
        <f t="shared" si="4"/>
        <v>6832.4983999999995</v>
      </c>
      <c r="I81" s="61"/>
      <c r="J81" s="61"/>
      <c r="K81" s="61"/>
      <c r="L81" s="61"/>
      <c r="M81" s="61"/>
      <c r="N81" s="313">
        <f t="shared" si="0"/>
        <v>7167.2908215999987</v>
      </c>
    </row>
    <row r="82" spans="1:20" ht="15" thickBot="1">
      <c r="A82">
        <v>65</v>
      </c>
      <c r="B82" s="61" t="s">
        <v>562</v>
      </c>
      <c r="C82" s="61"/>
      <c r="D82" s="61"/>
      <c r="E82" s="61"/>
      <c r="F82" s="61"/>
      <c r="G82" s="119">
        <v>10623</v>
      </c>
      <c r="H82" s="72">
        <f t="shared" si="4"/>
        <v>12277.001099999999</v>
      </c>
      <c r="I82" s="61"/>
      <c r="J82" s="61"/>
      <c r="K82" s="61"/>
      <c r="L82" s="61"/>
      <c r="M82" s="61"/>
      <c r="N82" s="313">
        <f t="shared" ref="N82:N86" si="5">H82*1.049</f>
        <v>12878.574153899999</v>
      </c>
    </row>
    <row r="83" spans="1:20" ht="15" thickBot="1">
      <c r="A83">
        <v>66</v>
      </c>
      <c r="B83" s="61" t="s">
        <v>563</v>
      </c>
      <c r="C83" s="61"/>
      <c r="D83" s="61"/>
      <c r="E83" s="61"/>
      <c r="F83" s="61"/>
      <c r="G83" s="119">
        <v>11189</v>
      </c>
      <c r="H83" s="72">
        <f t="shared" si="4"/>
        <v>12931.1273</v>
      </c>
      <c r="I83" s="61"/>
      <c r="J83" s="61"/>
      <c r="K83" s="61"/>
      <c r="L83" s="61"/>
      <c r="M83" s="61"/>
      <c r="N83" s="313">
        <f t="shared" si="5"/>
        <v>13564.752537699998</v>
      </c>
    </row>
    <row r="84" spans="1:20" ht="15" thickBot="1">
      <c r="A84">
        <v>67</v>
      </c>
      <c r="B84" s="61" t="s">
        <v>564</v>
      </c>
      <c r="C84" s="61"/>
      <c r="D84" s="61"/>
      <c r="E84" s="61"/>
      <c r="F84" s="61"/>
      <c r="G84" s="119">
        <v>12903</v>
      </c>
      <c r="H84" s="72">
        <f t="shared" si="4"/>
        <v>14911.997099999999</v>
      </c>
      <c r="I84" s="61"/>
      <c r="J84" s="61"/>
      <c r="K84" s="61"/>
      <c r="L84" s="61"/>
      <c r="M84" s="61"/>
      <c r="N84" s="313">
        <f t="shared" si="5"/>
        <v>15642.684957899997</v>
      </c>
    </row>
    <row r="85" spans="1:20" ht="15" thickBot="1">
      <c r="A85">
        <v>68</v>
      </c>
      <c r="B85" s="61" t="s">
        <v>194</v>
      </c>
      <c r="C85" s="61"/>
      <c r="D85" s="61"/>
      <c r="E85" s="61"/>
      <c r="F85" s="61"/>
      <c r="G85" s="119">
        <v>79</v>
      </c>
      <c r="H85" s="72">
        <f t="shared" si="4"/>
        <v>91.300299999999993</v>
      </c>
      <c r="I85" s="61"/>
      <c r="J85" s="61"/>
      <c r="K85" s="61"/>
      <c r="L85" s="61"/>
      <c r="M85" s="61"/>
      <c r="N85" s="313">
        <f t="shared" si="5"/>
        <v>95.774014699999981</v>
      </c>
    </row>
    <row r="86" spans="1:20" ht="15" thickBot="1">
      <c r="A86">
        <v>69</v>
      </c>
      <c r="B86" s="61" t="s">
        <v>565</v>
      </c>
      <c r="C86" s="61"/>
      <c r="D86" s="61"/>
      <c r="E86" s="61"/>
      <c r="F86" s="61"/>
      <c r="G86" s="119">
        <v>85</v>
      </c>
      <c r="H86" s="72">
        <f t="shared" si="4"/>
        <v>98.234499999999997</v>
      </c>
      <c r="I86" s="61"/>
      <c r="J86" s="61"/>
      <c r="K86" s="61"/>
      <c r="L86" s="61"/>
      <c r="M86" s="61"/>
      <c r="N86" s="313">
        <f t="shared" si="5"/>
        <v>103.04799049999998</v>
      </c>
    </row>
    <row r="87" spans="1:20">
      <c r="B87" s="61"/>
      <c r="C87" s="61"/>
      <c r="D87" s="61"/>
      <c r="E87" s="61"/>
      <c r="F87" s="61"/>
      <c r="G87" s="65"/>
      <c r="H87" s="61"/>
      <c r="I87" s="61"/>
      <c r="J87" s="61"/>
      <c r="K87" s="61"/>
      <c r="L87" s="61"/>
      <c r="M87" s="61"/>
    </row>
    <row r="88" spans="1:20">
      <c r="B88" s="61"/>
      <c r="C88" s="61"/>
      <c r="D88" s="61"/>
      <c r="E88" s="61"/>
      <c r="F88" s="61"/>
      <c r="G88" s="65"/>
      <c r="H88" s="61"/>
      <c r="I88" s="61"/>
      <c r="J88" s="61"/>
      <c r="K88" s="61"/>
      <c r="L88" s="61"/>
      <c r="M88" s="61"/>
    </row>
    <row r="89" spans="1:20" ht="15" thickBot="1">
      <c r="B89" s="61" t="s">
        <v>1</v>
      </c>
      <c r="C89" s="61"/>
      <c r="D89" s="61"/>
      <c r="E89" s="61"/>
      <c r="F89" s="61"/>
      <c r="G89" s="112" t="s">
        <v>566</v>
      </c>
      <c r="H89" s="61"/>
      <c r="I89" s="61"/>
      <c r="J89" s="61"/>
      <c r="K89" s="61"/>
      <c r="L89" s="61"/>
      <c r="M89" s="61"/>
      <c r="N89" s="316" t="s">
        <v>959</v>
      </c>
      <c r="O89" s="312"/>
      <c r="P89" s="312"/>
      <c r="Q89" s="312"/>
      <c r="R89" s="312"/>
      <c r="S89" s="312"/>
      <c r="T89" s="312"/>
    </row>
    <row r="90" spans="1:20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</row>
    <row r="91" spans="1:20" ht="15" thickBot="1">
      <c r="B91" s="61" t="s">
        <v>2</v>
      </c>
      <c r="C91" s="61"/>
      <c r="D91" s="61"/>
      <c r="E91" s="61"/>
      <c r="F91" s="61"/>
      <c r="G91" s="112" t="s">
        <v>528</v>
      </c>
      <c r="H91" s="61"/>
      <c r="I91" s="61"/>
      <c r="J91" s="61"/>
      <c r="K91" s="61"/>
      <c r="L91" s="61"/>
      <c r="M91" s="61"/>
    </row>
    <row r="92" spans="1:20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</row>
    <row r="93" spans="1:20" ht="15" thickBot="1">
      <c r="B93" s="118" t="s">
        <v>479</v>
      </c>
      <c r="C93" s="61"/>
      <c r="D93" s="61"/>
      <c r="E93" s="61"/>
      <c r="F93" s="61"/>
      <c r="G93" s="112">
        <v>49094</v>
      </c>
      <c r="H93" s="72">
        <v>66349.14</v>
      </c>
      <c r="I93" s="61" t="s">
        <v>567</v>
      </c>
      <c r="J93" s="61"/>
      <c r="K93" s="61"/>
      <c r="L93" s="61"/>
      <c r="M93" s="61"/>
      <c r="N93" s="313">
        <f>H93*1.049+3475</f>
        <v>73075.247859999989</v>
      </c>
    </row>
    <row r="94" spans="1:20">
      <c r="B94" s="118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313"/>
    </row>
    <row r="95" spans="1:20" ht="15" thickBot="1">
      <c r="B95" s="118" t="s">
        <v>480</v>
      </c>
      <c r="C95" s="61"/>
      <c r="D95" s="61"/>
      <c r="E95" s="61"/>
      <c r="F95" s="61"/>
      <c r="G95" s="112">
        <v>54292</v>
      </c>
      <c r="H95" s="72">
        <v>71143.789999999994</v>
      </c>
      <c r="I95" s="61" t="s">
        <v>568</v>
      </c>
      <c r="J95" s="61"/>
      <c r="K95" s="61"/>
      <c r="L95" s="61"/>
      <c r="M95" s="61"/>
      <c r="N95" s="313">
        <f>H95*1.049+2587</f>
        <v>77216.835709999985</v>
      </c>
    </row>
    <row r="96" spans="1:20">
      <c r="B96" s="118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313"/>
    </row>
    <row r="97" spans="1:23" ht="15" thickBot="1">
      <c r="B97" s="118" t="s">
        <v>481</v>
      </c>
      <c r="C97" s="61"/>
      <c r="D97" s="61"/>
      <c r="E97" s="61"/>
      <c r="F97" s="61"/>
      <c r="G97" s="112">
        <v>60236</v>
      </c>
      <c r="H97" s="72">
        <v>77123.320000000007</v>
      </c>
      <c r="I97" s="61" t="s">
        <v>569</v>
      </c>
      <c r="J97" s="61"/>
      <c r="K97" s="61"/>
      <c r="L97" s="61"/>
      <c r="M97" s="61"/>
      <c r="N97" s="313">
        <f>H97*1.049+2819</f>
        <v>83721.362680000006</v>
      </c>
    </row>
    <row r="98" spans="1:23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</row>
    <row r="99" spans="1:23">
      <c r="B99" s="118" t="s">
        <v>239</v>
      </c>
      <c r="C99" s="61"/>
      <c r="D99" s="61"/>
      <c r="E99" s="375" t="s">
        <v>482</v>
      </c>
      <c r="F99" s="375"/>
      <c r="G99" s="375"/>
      <c r="H99" s="61"/>
      <c r="I99" s="61"/>
      <c r="J99" s="61"/>
      <c r="K99" s="61"/>
      <c r="L99" s="61"/>
      <c r="M99" s="61"/>
      <c r="N99" s="15"/>
    </row>
    <row r="100" spans="1:23">
      <c r="B100" s="118"/>
      <c r="C100" s="61"/>
      <c r="D100" s="61"/>
      <c r="E100" s="61"/>
      <c r="F100" s="61"/>
      <c r="G100" s="65"/>
      <c r="H100" s="61"/>
      <c r="I100" s="61"/>
      <c r="J100" s="61"/>
      <c r="K100" s="61"/>
      <c r="L100" s="61"/>
      <c r="M100" s="61"/>
      <c r="N100" s="15"/>
    </row>
    <row r="101" spans="1:23" ht="15" thickBot="1">
      <c r="A101">
        <v>1</v>
      </c>
      <c r="B101" s="118" t="s">
        <v>531</v>
      </c>
      <c r="C101" s="61"/>
      <c r="D101" s="61"/>
      <c r="E101" s="61"/>
      <c r="F101" s="61"/>
      <c r="G101" s="112">
        <v>6779</v>
      </c>
      <c r="H101" s="72">
        <f>SUM(G101*1.1605)</f>
        <v>7867.0295000000006</v>
      </c>
      <c r="I101" s="61"/>
      <c r="J101" s="61"/>
      <c r="K101" s="61"/>
      <c r="L101" s="61"/>
      <c r="M101" s="61"/>
      <c r="N101" s="313">
        <f t="shared" ref="N101:N164" si="6">H101*1.049</f>
        <v>8252.5139455000008</v>
      </c>
    </row>
    <row r="102" spans="1:23" ht="15.75" customHeight="1" thickBot="1">
      <c r="A102">
        <f>A101+1</f>
        <v>2</v>
      </c>
      <c r="B102" s="118" t="s">
        <v>486</v>
      </c>
      <c r="C102" s="61"/>
      <c r="D102" s="61"/>
      <c r="E102" s="61"/>
      <c r="F102" s="61"/>
      <c r="G102" s="112" t="s">
        <v>32</v>
      </c>
      <c r="H102" s="72" t="s">
        <v>9</v>
      </c>
      <c r="I102" s="61"/>
      <c r="J102" s="61"/>
      <c r="K102" s="61"/>
      <c r="L102" s="61"/>
      <c r="M102" s="61"/>
      <c r="N102" s="313"/>
      <c r="P102" s="376" t="s">
        <v>487</v>
      </c>
      <c r="Q102" s="376"/>
      <c r="R102" s="376"/>
      <c r="S102" s="376"/>
      <c r="T102" s="376"/>
      <c r="U102" s="376"/>
      <c r="V102" s="376"/>
      <c r="W102" s="376"/>
    </row>
    <row r="103" spans="1:23" ht="15" thickBot="1">
      <c r="A103">
        <f t="shared" ref="A103:A149" si="7">A102+1</f>
        <v>3</v>
      </c>
      <c r="B103" s="118" t="s">
        <v>488</v>
      </c>
      <c r="C103" s="61"/>
      <c r="D103" s="61"/>
      <c r="E103" s="61"/>
      <c r="F103" s="61"/>
      <c r="G103" s="112" t="s">
        <v>192</v>
      </c>
      <c r="H103" s="72" t="s">
        <v>57</v>
      </c>
      <c r="I103" s="61"/>
      <c r="J103" s="61"/>
      <c r="K103" s="61"/>
      <c r="L103" s="61"/>
      <c r="M103" s="61"/>
      <c r="N103" s="313"/>
      <c r="P103" s="376"/>
      <c r="Q103" s="376"/>
      <c r="R103" s="376"/>
      <c r="S103" s="376"/>
      <c r="T103" s="376"/>
      <c r="U103" s="376"/>
      <c r="V103" s="376"/>
      <c r="W103" s="376"/>
    </row>
    <row r="104" spans="1:23" ht="15" thickBot="1">
      <c r="A104">
        <f t="shared" si="7"/>
        <v>4</v>
      </c>
      <c r="B104" s="125" t="s">
        <v>536</v>
      </c>
      <c r="C104" s="61"/>
      <c r="D104" s="61"/>
      <c r="E104" s="61"/>
      <c r="F104" s="61"/>
      <c r="G104" s="112">
        <v>1381</v>
      </c>
      <c r="H104" s="72">
        <f t="shared" ref="H104:H165" si="8">SUM(G104*1.1605)</f>
        <v>1602.6505000000002</v>
      </c>
      <c r="I104" s="61"/>
      <c r="J104" s="61"/>
      <c r="K104" s="61"/>
      <c r="L104" s="61"/>
      <c r="M104" s="61"/>
      <c r="N104" s="313">
        <f t="shared" si="6"/>
        <v>1681.1803745000002</v>
      </c>
      <c r="P104" s="376"/>
      <c r="Q104" s="376"/>
      <c r="R104" s="376"/>
      <c r="S104" s="376"/>
      <c r="T104" s="376"/>
      <c r="U104" s="376"/>
      <c r="V104" s="376"/>
      <c r="W104" s="376"/>
    </row>
    <row r="105" spans="1:23" ht="15" thickBot="1">
      <c r="A105">
        <f t="shared" si="7"/>
        <v>5</v>
      </c>
      <c r="B105" s="118" t="s">
        <v>537</v>
      </c>
      <c r="C105" s="61"/>
      <c r="D105" s="61"/>
      <c r="E105" s="61"/>
      <c r="F105" s="61"/>
      <c r="G105" s="112" t="s">
        <v>32</v>
      </c>
      <c r="H105" s="72" t="s">
        <v>9</v>
      </c>
      <c r="I105" s="61"/>
      <c r="J105" s="61"/>
      <c r="K105" s="61"/>
      <c r="L105" s="61"/>
      <c r="M105" s="61"/>
      <c r="N105" s="313"/>
    </row>
    <row r="106" spans="1:23" ht="15" thickBot="1">
      <c r="A106">
        <f>A105+1</f>
        <v>6</v>
      </c>
      <c r="B106" s="118" t="s">
        <v>538</v>
      </c>
      <c r="C106" s="61"/>
      <c r="D106" s="61"/>
      <c r="E106" s="61"/>
      <c r="F106" s="61"/>
      <c r="G106" s="112">
        <v>4200</v>
      </c>
      <c r="H106" s="72">
        <f t="shared" si="8"/>
        <v>4874.1000000000004</v>
      </c>
      <c r="I106" s="61"/>
      <c r="J106" s="61"/>
      <c r="K106" s="61"/>
      <c r="L106" s="61"/>
      <c r="M106" s="61"/>
      <c r="N106" s="313">
        <f t="shared" si="6"/>
        <v>5112.9309000000003</v>
      </c>
    </row>
    <row r="107" spans="1:23" ht="15" thickBot="1">
      <c r="A107">
        <f t="shared" si="7"/>
        <v>7</v>
      </c>
      <c r="B107" s="118" t="s">
        <v>500</v>
      </c>
      <c r="C107" s="61"/>
      <c r="D107" s="61"/>
      <c r="E107" s="61"/>
      <c r="F107" s="61"/>
      <c r="G107" s="112" t="s">
        <v>32</v>
      </c>
      <c r="H107" s="72" t="s">
        <v>9</v>
      </c>
      <c r="I107" s="118"/>
      <c r="J107" s="61"/>
      <c r="K107" s="61"/>
      <c r="L107" s="61"/>
      <c r="M107" s="61"/>
      <c r="N107" s="313"/>
    </row>
    <row r="108" spans="1:23" ht="15" thickBot="1">
      <c r="A108">
        <f t="shared" si="7"/>
        <v>8</v>
      </c>
      <c r="B108" s="118" t="s">
        <v>501</v>
      </c>
      <c r="C108" s="61"/>
      <c r="D108" s="61"/>
      <c r="E108" s="61"/>
      <c r="F108" s="61"/>
      <c r="G108" s="112">
        <v>398</v>
      </c>
      <c r="H108" s="72">
        <f t="shared" si="8"/>
        <v>461.87900000000002</v>
      </c>
      <c r="I108" s="118"/>
      <c r="J108" s="61"/>
      <c r="K108" s="61"/>
      <c r="L108" s="61"/>
      <c r="M108" s="61"/>
      <c r="N108" s="313">
        <f t="shared" si="6"/>
        <v>484.51107100000002</v>
      </c>
    </row>
    <row r="109" spans="1:23" ht="15" thickBot="1">
      <c r="A109">
        <f t="shared" si="7"/>
        <v>9</v>
      </c>
      <c r="B109" s="118" t="s">
        <v>502</v>
      </c>
      <c r="C109" s="61"/>
      <c r="D109" s="61"/>
      <c r="E109" s="61"/>
      <c r="F109" s="61"/>
      <c r="G109" s="112">
        <v>7240</v>
      </c>
      <c r="H109" s="72">
        <f t="shared" si="8"/>
        <v>8402.02</v>
      </c>
      <c r="I109" s="118"/>
      <c r="J109" s="61"/>
      <c r="K109" s="61"/>
      <c r="L109" s="61"/>
      <c r="M109" s="61"/>
      <c r="N109" s="313">
        <f t="shared" si="6"/>
        <v>8813.7189799999996</v>
      </c>
    </row>
    <row r="110" spans="1:23" ht="15" thickBot="1">
      <c r="A110">
        <f t="shared" si="7"/>
        <v>10</v>
      </c>
      <c r="B110" s="118" t="s">
        <v>503</v>
      </c>
      <c r="C110" s="61"/>
      <c r="D110" s="61"/>
      <c r="E110" s="61"/>
      <c r="F110" s="61"/>
      <c r="G110" s="112">
        <v>149</v>
      </c>
      <c r="H110" s="72">
        <f t="shared" si="8"/>
        <v>172.9145</v>
      </c>
      <c r="I110" s="61"/>
      <c r="J110" s="61"/>
      <c r="K110" s="61"/>
      <c r="L110" s="61"/>
      <c r="M110" s="61"/>
      <c r="N110" s="313">
        <f t="shared" si="6"/>
        <v>181.38731049999998</v>
      </c>
    </row>
    <row r="111" spans="1:23" ht="15" thickBot="1">
      <c r="A111">
        <f t="shared" si="7"/>
        <v>11</v>
      </c>
      <c r="B111" s="118" t="s">
        <v>504</v>
      </c>
      <c r="C111" s="61"/>
      <c r="D111" s="61"/>
      <c r="E111" s="61"/>
      <c r="F111" s="61"/>
      <c r="G111" s="112">
        <v>521</v>
      </c>
      <c r="H111" s="72">
        <f t="shared" si="8"/>
        <v>604.62049999999999</v>
      </c>
      <c r="I111" s="61"/>
      <c r="J111" s="61"/>
      <c r="K111" s="61"/>
      <c r="L111" s="61"/>
      <c r="M111" s="61"/>
      <c r="N111" s="313">
        <f t="shared" si="6"/>
        <v>634.24690449999991</v>
      </c>
    </row>
    <row r="112" spans="1:23" ht="15" thickBot="1">
      <c r="A112">
        <f t="shared" si="7"/>
        <v>12</v>
      </c>
      <c r="B112" s="118" t="s">
        <v>34</v>
      </c>
      <c r="C112" s="61"/>
      <c r="D112" s="61"/>
      <c r="E112" s="61"/>
      <c r="F112" s="61"/>
      <c r="G112" s="112">
        <v>661</v>
      </c>
      <c r="H112" s="72">
        <f t="shared" si="8"/>
        <v>767.09050000000002</v>
      </c>
      <c r="I112" s="61"/>
      <c r="J112" s="61"/>
      <c r="K112" s="61"/>
      <c r="L112" s="61"/>
      <c r="M112" s="61"/>
      <c r="N112" s="313">
        <f t="shared" si="6"/>
        <v>804.67793449999999</v>
      </c>
    </row>
    <row r="113" spans="1:14" ht="15" thickBot="1">
      <c r="A113">
        <f t="shared" si="7"/>
        <v>13</v>
      </c>
      <c r="B113" s="118" t="s">
        <v>37</v>
      </c>
      <c r="C113" s="61"/>
      <c r="D113" s="61"/>
      <c r="E113" s="61"/>
      <c r="F113" s="61"/>
      <c r="G113" s="112">
        <v>956</v>
      </c>
      <c r="H113" s="72">
        <f t="shared" si="8"/>
        <v>1109.4380000000001</v>
      </c>
      <c r="I113" s="61"/>
      <c r="J113" s="61"/>
      <c r="K113" s="61"/>
      <c r="L113" s="61"/>
      <c r="M113" s="61"/>
      <c r="N113" s="313">
        <f t="shared" si="6"/>
        <v>1163.8004619999999</v>
      </c>
    </row>
    <row r="114" spans="1:14" ht="15" thickBot="1">
      <c r="A114">
        <f t="shared" si="7"/>
        <v>14</v>
      </c>
      <c r="B114" s="118" t="s">
        <v>39</v>
      </c>
      <c r="C114" s="61"/>
      <c r="D114" s="61"/>
      <c r="E114" s="61"/>
      <c r="F114" s="61"/>
      <c r="G114" s="112">
        <v>1321</v>
      </c>
      <c r="H114" s="72">
        <f t="shared" si="8"/>
        <v>1533.0205000000001</v>
      </c>
      <c r="I114" s="61"/>
      <c r="J114" s="61"/>
      <c r="K114" s="61"/>
      <c r="L114" s="61"/>
      <c r="M114" s="61"/>
      <c r="N114" s="313">
        <f t="shared" si="6"/>
        <v>1608.1385045</v>
      </c>
    </row>
    <row r="115" spans="1:14" ht="15" thickBot="1">
      <c r="A115">
        <f t="shared" si="7"/>
        <v>15</v>
      </c>
      <c r="B115" s="118" t="s">
        <v>505</v>
      </c>
      <c r="C115" s="61"/>
      <c r="D115" s="61"/>
      <c r="E115" s="61"/>
      <c r="F115" s="61"/>
      <c r="G115" s="112">
        <v>879</v>
      </c>
      <c r="H115" s="72">
        <f t="shared" si="8"/>
        <v>1020.0795000000001</v>
      </c>
      <c r="I115" s="61"/>
      <c r="J115" s="61"/>
      <c r="K115" s="61"/>
      <c r="L115" s="61"/>
      <c r="M115" s="61"/>
      <c r="N115" s="313">
        <f t="shared" si="6"/>
        <v>1070.0633955000001</v>
      </c>
    </row>
    <row r="116" spans="1:14" ht="15" thickBot="1">
      <c r="A116">
        <f t="shared" si="7"/>
        <v>16</v>
      </c>
      <c r="B116" s="118" t="s">
        <v>506</v>
      </c>
      <c r="C116" s="61"/>
      <c r="D116" s="61"/>
      <c r="E116" s="61"/>
      <c r="F116" s="61"/>
      <c r="G116" s="112">
        <v>63</v>
      </c>
      <c r="H116" s="72">
        <f t="shared" si="8"/>
        <v>73.111500000000007</v>
      </c>
      <c r="I116" s="61"/>
      <c r="J116" s="61"/>
      <c r="K116" s="61"/>
      <c r="L116" s="61"/>
      <c r="M116" s="61"/>
      <c r="N116" s="313">
        <f t="shared" si="6"/>
        <v>76.693963499999995</v>
      </c>
    </row>
    <row r="117" spans="1:14" ht="15" thickBot="1">
      <c r="A117">
        <f t="shared" si="7"/>
        <v>17</v>
      </c>
      <c r="B117" s="118" t="s">
        <v>507</v>
      </c>
      <c r="C117" s="61"/>
      <c r="D117" s="61"/>
      <c r="E117" s="61"/>
      <c r="F117" s="61"/>
      <c r="G117" s="112">
        <v>31</v>
      </c>
      <c r="H117" s="72">
        <f t="shared" si="8"/>
        <v>35.975500000000004</v>
      </c>
      <c r="I117" s="61"/>
      <c r="J117" s="61"/>
      <c r="K117" s="61"/>
      <c r="L117" s="61"/>
      <c r="M117" s="61"/>
      <c r="N117" s="313">
        <f t="shared" si="6"/>
        <v>37.738299500000004</v>
      </c>
    </row>
    <row r="118" spans="1:14" ht="15" thickBot="1">
      <c r="A118">
        <f t="shared" si="7"/>
        <v>18</v>
      </c>
      <c r="B118" s="61" t="s">
        <v>70</v>
      </c>
      <c r="C118" s="61"/>
      <c r="D118" s="61"/>
      <c r="E118" s="61"/>
      <c r="F118" s="61"/>
      <c r="G118" s="112">
        <v>59</v>
      </c>
      <c r="H118" s="72">
        <f t="shared" si="8"/>
        <v>68.469500000000011</v>
      </c>
      <c r="I118" s="61"/>
      <c r="J118" s="61"/>
      <c r="K118" s="61"/>
      <c r="L118" s="61"/>
      <c r="M118" s="61"/>
      <c r="N118" s="313">
        <f t="shared" si="6"/>
        <v>71.824505500000001</v>
      </c>
    </row>
    <row r="119" spans="1:14" ht="15" thickBot="1">
      <c r="A119">
        <f t="shared" si="7"/>
        <v>19</v>
      </c>
      <c r="B119" s="61" t="s">
        <v>72</v>
      </c>
      <c r="C119" s="61"/>
      <c r="D119" s="61"/>
      <c r="E119" s="61"/>
      <c r="F119" s="61"/>
      <c r="G119" s="112">
        <v>16</v>
      </c>
      <c r="H119" s="72">
        <f t="shared" si="8"/>
        <v>18.568000000000001</v>
      </c>
      <c r="I119" s="61"/>
      <c r="J119" s="61"/>
      <c r="K119" s="61"/>
      <c r="L119" s="61"/>
      <c r="M119" s="61"/>
      <c r="N119" s="313">
        <f t="shared" si="6"/>
        <v>19.477831999999999</v>
      </c>
    </row>
    <row r="120" spans="1:14" ht="15" thickBot="1">
      <c r="A120">
        <f t="shared" si="7"/>
        <v>20</v>
      </c>
      <c r="B120" s="61" t="s">
        <v>74</v>
      </c>
      <c r="C120" s="61"/>
      <c r="D120" s="61"/>
      <c r="E120" s="61"/>
      <c r="F120" s="61"/>
      <c r="G120" s="112">
        <v>33</v>
      </c>
      <c r="H120" s="72">
        <f t="shared" si="8"/>
        <v>38.296500000000002</v>
      </c>
      <c r="I120" s="61"/>
      <c r="J120" s="61"/>
      <c r="K120" s="61"/>
      <c r="L120" s="61"/>
      <c r="M120" s="61"/>
      <c r="N120" s="313">
        <f t="shared" si="6"/>
        <v>40.173028500000001</v>
      </c>
    </row>
    <row r="121" spans="1:14" ht="15" thickBot="1">
      <c r="A121">
        <f t="shared" si="7"/>
        <v>21</v>
      </c>
      <c r="B121" s="61" t="s">
        <v>76</v>
      </c>
      <c r="C121" s="61"/>
      <c r="D121" s="61"/>
      <c r="E121" s="61"/>
      <c r="F121" s="61"/>
      <c r="G121" s="112">
        <v>990</v>
      </c>
      <c r="H121" s="72">
        <f t="shared" si="8"/>
        <v>1148.895</v>
      </c>
      <c r="I121" s="61"/>
      <c r="J121" s="61"/>
      <c r="K121" s="61"/>
      <c r="L121" s="61"/>
      <c r="M121" s="61"/>
      <c r="N121" s="313">
        <f t="shared" si="6"/>
        <v>1205.1908549999998</v>
      </c>
    </row>
    <row r="122" spans="1:14" ht="15" thickBot="1">
      <c r="A122">
        <f t="shared" si="7"/>
        <v>22</v>
      </c>
      <c r="B122" s="61" t="s">
        <v>510</v>
      </c>
      <c r="C122" s="61"/>
      <c r="D122" s="61"/>
      <c r="E122" s="61"/>
      <c r="F122" s="61"/>
      <c r="G122" s="112">
        <v>1498</v>
      </c>
      <c r="H122" s="72">
        <f t="shared" si="8"/>
        <v>1738.4290000000001</v>
      </c>
      <c r="I122" s="61"/>
      <c r="J122" s="61"/>
      <c r="K122" s="61"/>
      <c r="L122" s="61"/>
      <c r="M122" s="61"/>
      <c r="N122" s="313">
        <f t="shared" si="6"/>
        <v>1823.6120209999999</v>
      </c>
    </row>
    <row r="123" spans="1:14" ht="15" thickBot="1">
      <c r="A123">
        <f t="shared" si="7"/>
        <v>23</v>
      </c>
      <c r="B123" s="61" t="s">
        <v>91</v>
      </c>
      <c r="C123" s="61"/>
      <c r="D123" s="61"/>
      <c r="E123" s="61"/>
      <c r="F123" s="61"/>
      <c r="G123" s="112">
        <v>-304</v>
      </c>
      <c r="H123" s="72">
        <f t="shared" si="8"/>
        <v>-352.79200000000003</v>
      </c>
      <c r="I123" s="61"/>
      <c r="J123" s="61"/>
      <c r="K123" s="61"/>
      <c r="L123" s="61"/>
      <c r="M123" s="61"/>
      <c r="N123" s="313">
        <f t="shared" si="6"/>
        <v>-370.07880799999998</v>
      </c>
    </row>
    <row r="124" spans="1:14" ht="15" thickBot="1">
      <c r="A124">
        <f t="shared" si="7"/>
        <v>24</v>
      </c>
      <c r="B124" s="61" t="s">
        <v>93</v>
      </c>
      <c r="C124" s="61"/>
      <c r="D124" s="61"/>
      <c r="E124" s="61"/>
      <c r="F124" s="61"/>
      <c r="G124" s="112">
        <v>-304</v>
      </c>
      <c r="H124" s="72">
        <f t="shared" si="8"/>
        <v>-352.79200000000003</v>
      </c>
      <c r="I124" s="61"/>
      <c r="J124" s="61"/>
      <c r="K124" s="61"/>
      <c r="L124" s="61"/>
      <c r="M124" s="61"/>
      <c r="N124" s="313">
        <f t="shared" si="6"/>
        <v>-370.07880799999998</v>
      </c>
    </row>
    <row r="125" spans="1:14" ht="15" thickBot="1">
      <c r="A125">
        <f t="shared" si="7"/>
        <v>25</v>
      </c>
      <c r="B125" s="61" t="s">
        <v>99</v>
      </c>
      <c r="C125" s="61"/>
      <c r="D125" s="61"/>
      <c r="E125" s="61"/>
      <c r="F125" s="61"/>
      <c r="G125" s="112" t="s">
        <v>32</v>
      </c>
      <c r="H125" s="72" t="s">
        <v>9</v>
      </c>
      <c r="I125" s="61"/>
      <c r="J125" s="61"/>
      <c r="K125" s="61"/>
      <c r="L125" s="61"/>
      <c r="M125" s="61"/>
      <c r="N125" s="313"/>
    </row>
    <row r="126" spans="1:14" ht="15" thickBot="1">
      <c r="A126">
        <f t="shared" si="7"/>
        <v>26</v>
      </c>
      <c r="B126" s="61" t="s">
        <v>101</v>
      </c>
      <c r="C126" s="61"/>
      <c r="D126" s="61"/>
      <c r="E126" s="61"/>
      <c r="F126" s="61"/>
      <c r="G126" s="112" t="s">
        <v>32</v>
      </c>
      <c r="H126" s="72" t="s">
        <v>9</v>
      </c>
      <c r="I126" s="61"/>
      <c r="J126" s="61"/>
      <c r="K126" s="61"/>
      <c r="L126" s="61"/>
      <c r="M126" s="61"/>
      <c r="N126" s="313"/>
    </row>
    <row r="127" spans="1:14" ht="15" thickBot="1">
      <c r="A127">
        <f t="shared" si="7"/>
        <v>27</v>
      </c>
      <c r="B127" s="61" t="s">
        <v>114</v>
      </c>
      <c r="C127" s="61"/>
      <c r="D127" s="61"/>
      <c r="E127" s="61"/>
      <c r="F127" s="61"/>
      <c r="G127" s="112">
        <v>3359</v>
      </c>
      <c r="H127" s="72">
        <f t="shared" si="8"/>
        <v>3898.1195000000002</v>
      </c>
      <c r="I127" s="61"/>
      <c r="J127" s="61"/>
      <c r="K127" s="61"/>
      <c r="L127" s="61"/>
      <c r="M127" s="61"/>
      <c r="N127" s="313">
        <f t="shared" si="6"/>
        <v>4089.1273554999998</v>
      </c>
    </row>
    <row r="128" spans="1:14" ht="15" thickBot="1">
      <c r="A128">
        <f t="shared" si="7"/>
        <v>28</v>
      </c>
      <c r="B128" s="61" t="s">
        <v>116</v>
      </c>
      <c r="C128" s="61"/>
      <c r="D128" s="61"/>
      <c r="E128" s="61"/>
      <c r="F128" s="61"/>
      <c r="G128" s="112">
        <v>4636</v>
      </c>
      <c r="H128" s="72">
        <f t="shared" si="8"/>
        <v>5380.0780000000004</v>
      </c>
      <c r="I128" s="61"/>
      <c r="J128" s="61"/>
      <c r="K128" s="61"/>
      <c r="L128" s="61"/>
      <c r="M128" s="61"/>
      <c r="N128" s="313">
        <f t="shared" si="6"/>
        <v>5643.701822</v>
      </c>
    </row>
    <row r="129" spans="1:15" ht="15" thickBot="1">
      <c r="A129">
        <f t="shared" si="7"/>
        <v>29</v>
      </c>
      <c r="B129" s="61" t="s">
        <v>120</v>
      </c>
      <c r="C129" s="61"/>
      <c r="D129" s="61"/>
      <c r="E129" s="61"/>
      <c r="F129" s="61"/>
      <c r="G129" s="112">
        <v>2478</v>
      </c>
      <c r="H129" s="72">
        <f t="shared" si="8"/>
        <v>2875.7190000000001</v>
      </c>
      <c r="I129" s="61"/>
      <c r="J129" s="61"/>
      <c r="K129" s="61"/>
      <c r="L129" s="61"/>
      <c r="M129" s="61"/>
      <c r="N129" s="313">
        <f t="shared" si="6"/>
        <v>3016.6292309999999</v>
      </c>
    </row>
    <row r="130" spans="1:15" ht="15" thickBot="1">
      <c r="A130">
        <f t="shared" si="7"/>
        <v>30</v>
      </c>
      <c r="B130" s="61" t="s">
        <v>122</v>
      </c>
      <c r="C130" s="61"/>
      <c r="D130" s="61"/>
      <c r="E130" s="61"/>
      <c r="F130" s="61"/>
      <c r="G130" s="112">
        <v>3032</v>
      </c>
      <c r="H130" s="72">
        <f t="shared" si="8"/>
        <v>3518.6360000000004</v>
      </c>
      <c r="I130" s="61"/>
      <c r="J130" s="61"/>
      <c r="K130" s="61"/>
      <c r="L130" s="61"/>
      <c r="M130" s="61"/>
      <c r="N130" s="313">
        <f t="shared" si="6"/>
        <v>3691.049164</v>
      </c>
    </row>
    <row r="131" spans="1:15" ht="15" thickBot="1">
      <c r="A131">
        <f t="shared" si="7"/>
        <v>31</v>
      </c>
      <c r="B131" s="61" t="s">
        <v>124</v>
      </c>
      <c r="C131" s="61"/>
      <c r="D131" s="61"/>
      <c r="E131" s="61"/>
      <c r="F131" s="61"/>
      <c r="G131" s="112">
        <v>3188</v>
      </c>
      <c r="H131" s="72">
        <f t="shared" si="8"/>
        <v>3699.6740000000004</v>
      </c>
      <c r="I131" s="61"/>
      <c r="J131" s="61"/>
      <c r="K131" s="61"/>
      <c r="L131" s="61"/>
      <c r="M131" s="61"/>
      <c r="N131" s="313">
        <f t="shared" si="6"/>
        <v>3880.9580260000002</v>
      </c>
    </row>
    <row r="132" spans="1:15" ht="15" thickBot="1">
      <c r="A132">
        <f t="shared" si="7"/>
        <v>32</v>
      </c>
      <c r="B132" s="61" t="s">
        <v>126</v>
      </c>
      <c r="C132" s="61"/>
      <c r="D132" s="61"/>
      <c r="E132" s="61"/>
      <c r="F132" s="61"/>
      <c r="G132" s="112">
        <v>3998</v>
      </c>
      <c r="H132" s="72">
        <f t="shared" si="8"/>
        <v>4639.6790000000001</v>
      </c>
      <c r="I132" s="61"/>
      <c r="J132" s="61"/>
      <c r="K132" s="61"/>
      <c r="L132" s="61"/>
      <c r="M132" s="61"/>
      <c r="N132" s="313">
        <f t="shared" si="6"/>
        <v>4867.023271</v>
      </c>
    </row>
    <row r="133" spans="1:15" ht="15" thickBot="1">
      <c r="A133">
        <f t="shared" si="7"/>
        <v>33</v>
      </c>
      <c r="B133" s="118" t="s">
        <v>511</v>
      </c>
      <c r="C133" s="61"/>
      <c r="D133" s="61"/>
      <c r="E133" s="61"/>
      <c r="F133" s="61"/>
      <c r="G133" s="112">
        <v>1301</v>
      </c>
      <c r="H133" s="72">
        <f t="shared" si="8"/>
        <v>1509.8105</v>
      </c>
      <c r="I133" s="61"/>
      <c r="J133" s="61"/>
      <c r="K133" s="61"/>
      <c r="L133" s="61"/>
      <c r="M133" s="61"/>
      <c r="N133" s="313">
        <f t="shared" si="6"/>
        <v>1583.7912145</v>
      </c>
    </row>
    <row r="134" spans="1:15" ht="15" thickBot="1">
      <c r="A134">
        <f t="shared" si="7"/>
        <v>34</v>
      </c>
      <c r="B134" s="118" t="s">
        <v>512</v>
      </c>
      <c r="C134" s="61"/>
      <c r="D134" s="61"/>
      <c r="E134" s="61"/>
      <c r="F134" s="61"/>
      <c r="G134" s="112">
        <v>35</v>
      </c>
      <c r="H134" s="72">
        <f t="shared" si="8"/>
        <v>40.6175</v>
      </c>
      <c r="I134" s="61"/>
      <c r="J134" s="61"/>
      <c r="K134" s="61"/>
      <c r="L134" s="61"/>
      <c r="M134" s="61"/>
      <c r="N134" s="313">
        <f t="shared" si="6"/>
        <v>42.607757499999998</v>
      </c>
    </row>
    <row r="135" spans="1:15" ht="15" thickBot="1">
      <c r="A135">
        <f t="shared" si="7"/>
        <v>35</v>
      </c>
      <c r="B135" s="118" t="s">
        <v>513</v>
      </c>
      <c r="C135" s="61"/>
      <c r="D135" s="61"/>
      <c r="E135" s="61"/>
      <c r="F135" s="61"/>
      <c r="G135" s="112">
        <v>30</v>
      </c>
      <c r="H135" s="72">
        <f t="shared" si="8"/>
        <v>34.815000000000005</v>
      </c>
      <c r="I135" s="61"/>
      <c r="J135" s="61"/>
      <c r="K135" s="61"/>
      <c r="L135" s="61"/>
      <c r="M135" s="61"/>
      <c r="N135" s="313">
        <f t="shared" si="6"/>
        <v>36.520935000000001</v>
      </c>
    </row>
    <row r="136" spans="1:15" ht="15" thickBot="1">
      <c r="A136">
        <f t="shared" si="7"/>
        <v>36</v>
      </c>
      <c r="B136" s="118" t="s">
        <v>514</v>
      </c>
      <c r="C136" s="61"/>
      <c r="D136" s="61"/>
      <c r="E136" s="61"/>
      <c r="F136" s="61"/>
      <c r="G136" s="112">
        <v>5125</v>
      </c>
      <c r="H136" s="72">
        <f t="shared" si="8"/>
        <v>5947.5625</v>
      </c>
      <c r="I136" s="61"/>
      <c r="J136" s="61"/>
      <c r="K136" s="61"/>
      <c r="L136" s="61"/>
      <c r="M136" s="61"/>
      <c r="N136" s="313">
        <f t="shared" si="6"/>
        <v>6238.9930624999997</v>
      </c>
    </row>
    <row r="137" spans="1:15" ht="15" thickBot="1">
      <c r="A137">
        <f t="shared" si="7"/>
        <v>37</v>
      </c>
      <c r="B137" s="61" t="s">
        <v>516</v>
      </c>
      <c r="C137" s="61"/>
      <c r="D137" s="61"/>
      <c r="E137" s="61"/>
      <c r="F137" s="61"/>
      <c r="G137" s="112" t="s">
        <v>32</v>
      </c>
      <c r="H137" s="72" t="s">
        <v>9</v>
      </c>
      <c r="I137" s="61"/>
      <c r="J137" s="61"/>
      <c r="K137" s="61"/>
      <c r="L137" s="61"/>
      <c r="M137" s="61"/>
      <c r="N137" s="313"/>
    </row>
    <row r="138" spans="1:15" ht="15" thickBot="1">
      <c r="A138">
        <f t="shared" si="7"/>
        <v>38</v>
      </c>
      <c r="B138" s="61" t="s">
        <v>517</v>
      </c>
      <c r="C138" s="61"/>
      <c r="D138" s="61"/>
      <c r="E138" s="61"/>
      <c r="F138" s="61"/>
      <c r="G138" s="112" t="s">
        <v>32</v>
      </c>
      <c r="H138" s="72" t="s">
        <v>9</v>
      </c>
      <c r="I138" s="61"/>
      <c r="J138" s="61"/>
      <c r="K138" s="61"/>
      <c r="L138" s="61"/>
      <c r="M138" s="61"/>
      <c r="N138" s="313"/>
    </row>
    <row r="139" spans="1:15" ht="15" thickBot="1">
      <c r="A139">
        <f t="shared" si="7"/>
        <v>39</v>
      </c>
      <c r="B139" s="61" t="s">
        <v>518</v>
      </c>
      <c r="C139" s="61"/>
      <c r="D139" s="61"/>
      <c r="E139" s="61"/>
      <c r="F139" s="61"/>
      <c r="G139" s="112" t="s">
        <v>32</v>
      </c>
      <c r="H139" s="72" t="s">
        <v>9</v>
      </c>
      <c r="I139" s="61"/>
      <c r="J139" s="61"/>
      <c r="K139" s="61"/>
      <c r="L139" s="61"/>
      <c r="M139" s="61"/>
      <c r="N139" s="313"/>
    </row>
    <row r="140" spans="1:15" ht="15" thickBot="1">
      <c r="A140">
        <f t="shared" si="7"/>
        <v>40</v>
      </c>
      <c r="B140" s="61" t="s">
        <v>519</v>
      </c>
      <c r="C140" s="61"/>
      <c r="D140" s="61"/>
      <c r="E140" s="61"/>
      <c r="F140" s="61"/>
      <c r="G140" s="112" t="s">
        <v>32</v>
      </c>
      <c r="H140" s="72" t="s">
        <v>9</v>
      </c>
      <c r="I140" s="61"/>
      <c r="J140" s="61"/>
      <c r="K140" s="61"/>
      <c r="L140" s="61"/>
      <c r="M140" s="61"/>
      <c r="N140" s="313"/>
    </row>
    <row r="141" spans="1:15" ht="15" thickBot="1">
      <c r="A141">
        <f t="shared" si="7"/>
        <v>41</v>
      </c>
      <c r="B141" s="61" t="s">
        <v>150</v>
      </c>
      <c r="C141" s="61"/>
      <c r="D141" s="61"/>
      <c r="E141" s="61"/>
      <c r="F141" s="61"/>
      <c r="G141" s="112">
        <v>3250</v>
      </c>
      <c r="H141" s="72">
        <f t="shared" si="8"/>
        <v>3771.6250000000005</v>
      </c>
      <c r="I141" s="61"/>
      <c r="J141" s="61"/>
      <c r="K141" s="61"/>
      <c r="L141" s="61"/>
      <c r="M141" s="61"/>
      <c r="N141" s="313">
        <f t="shared" si="6"/>
        <v>3956.4346250000003</v>
      </c>
      <c r="O141" t="s">
        <v>740</v>
      </c>
    </row>
    <row r="142" spans="1:15" ht="15" thickBot="1">
      <c r="A142">
        <f t="shared" si="7"/>
        <v>42</v>
      </c>
      <c r="B142" s="61" t="s">
        <v>152</v>
      </c>
      <c r="C142" s="61"/>
      <c r="D142" s="61"/>
      <c r="E142" s="61"/>
      <c r="F142" s="61"/>
      <c r="G142" s="112">
        <v>3150</v>
      </c>
      <c r="H142" s="72">
        <f t="shared" si="8"/>
        <v>3655.5750000000003</v>
      </c>
      <c r="I142" s="61"/>
      <c r="J142" s="61"/>
      <c r="K142" s="61"/>
      <c r="L142" s="61"/>
      <c r="M142" s="61"/>
      <c r="N142" s="313">
        <f t="shared" si="6"/>
        <v>3834.698175</v>
      </c>
    </row>
    <row r="143" spans="1:15" ht="15" thickBot="1">
      <c r="A143">
        <f t="shared" si="7"/>
        <v>43</v>
      </c>
      <c r="B143" s="61" t="s">
        <v>154</v>
      </c>
      <c r="C143" s="61"/>
      <c r="D143" s="61"/>
      <c r="E143" s="61"/>
      <c r="F143" s="61"/>
      <c r="G143" s="112">
        <v>3400</v>
      </c>
      <c r="H143" s="72">
        <f t="shared" si="8"/>
        <v>3945.7000000000003</v>
      </c>
      <c r="I143" s="61"/>
      <c r="J143" s="61"/>
      <c r="K143" s="61"/>
      <c r="L143" s="61"/>
      <c r="M143" s="61"/>
      <c r="N143" s="313">
        <f t="shared" si="6"/>
        <v>4139.0393000000004</v>
      </c>
    </row>
    <row r="144" spans="1:15" ht="15" thickBot="1">
      <c r="A144">
        <f t="shared" si="7"/>
        <v>44</v>
      </c>
      <c r="B144" s="61" t="s">
        <v>156</v>
      </c>
      <c r="C144" s="61"/>
      <c r="D144" s="61"/>
      <c r="E144" s="61"/>
      <c r="F144" s="61"/>
      <c r="G144" s="112">
        <v>3700</v>
      </c>
      <c r="H144" s="72">
        <f t="shared" si="8"/>
        <v>4293.8500000000004</v>
      </c>
      <c r="I144" s="61"/>
      <c r="J144" s="61"/>
      <c r="K144" s="61"/>
      <c r="L144" s="61"/>
      <c r="M144" s="61"/>
      <c r="N144" s="313">
        <f t="shared" si="6"/>
        <v>4504.2486500000005</v>
      </c>
    </row>
    <row r="145" spans="1:15" ht="15" thickBot="1">
      <c r="A145">
        <f t="shared" si="7"/>
        <v>45</v>
      </c>
      <c r="B145" s="61" t="s">
        <v>157</v>
      </c>
      <c r="C145" s="61"/>
      <c r="D145" s="61"/>
      <c r="E145" s="61"/>
      <c r="F145" s="61"/>
      <c r="G145" s="112">
        <v>4000</v>
      </c>
      <c r="H145" s="72">
        <f t="shared" si="8"/>
        <v>4642</v>
      </c>
      <c r="I145" s="61"/>
      <c r="J145" s="61"/>
      <c r="K145" s="61"/>
      <c r="L145" s="61"/>
      <c r="M145" s="61"/>
      <c r="N145" s="313">
        <f t="shared" si="6"/>
        <v>4869.4579999999996</v>
      </c>
    </row>
    <row r="146" spans="1:15" ht="15" thickBot="1">
      <c r="A146">
        <f t="shared" si="7"/>
        <v>46</v>
      </c>
      <c r="B146" s="61" t="s">
        <v>158</v>
      </c>
      <c r="C146" s="61"/>
      <c r="D146" s="61"/>
      <c r="E146" s="61"/>
      <c r="F146" s="61"/>
      <c r="G146" s="112">
        <v>1688</v>
      </c>
      <c r="H146" s="72">
        <f t="shared" si="8"/>
        <v>1958.9240000000002</v>
      </c>
      <c r="I146" s="61"/>
      <c r="J146" s="61"/>
      <c r="K146" s="61"/>
      <c r="L146" s="61"/>
      <c r="M146" s="61"/>
      <c r="N146" s="313">
        <f t="shared" si="6"/>
        <v>2054.9112760000003</v>
      </c>
      <c r="O146" t="s">
        <v>159</v>
      </c>
    </row>
    <row r="147" spans="1:15" ht="15" thickBot="1">
      <c r="A147">
        <f t="shared" si="7"/>
        <v>47</v>
      </c>
      <c r="B147" s="61" t="s">
        <v>160</v>
      </c>
      <c r="C147" s="61"/>
      <c r="D147" s="61"/>
      <c r="E147" s="61"/>
      <c r="F147" s="61"/>
      <c r="G147" s="112">
        <v>1860</v>
      </c>
      <c r="H147" s="72">
        <f t="shared" si="8"/>
        <v>2158.5300000000002</v>
      </c>
      <c r="I147" s="61"/>
      <c r="J147" s="61"/>
      <c r="K147" s="61"/>
      <c r="L147" s="61"/>
      <c r="M147" s="61"/>
      <c r="N147" s="313">
        <f t="shared" si="6"/>
        <v>2264.2979700000001</v>
      </c>
      <c r="O147" s="15"/>
    </row>
    <row r="148" spans="1:15" ht="15" thickBot="1">
      <c r="A148">
        <f t="shared" si="7"/>
        <v>48</v>
      </c>
      <c r="B148" s="61" t="s">
        <v>161</v>
      </c>
      <c r="C148" s="61"/>
      <c r="D148" s="61"/>
      <c r="E148" s="61"/>
      <c r="F148" s="61"/>
      <c r="G148" s="112">
        <v>1998</v>
      </c>
      <c r="H148" s="72">
        <f t="shared" si="8"/>
        <v>2318.6790000000001</v>
      </c>
      <c r="I148" s="61"/>
      <c r="J148" s="61"/>
      <c r="K148" s="61"/>
      <c r="L148" s="61"/>
      <c r="M148" s="61"/>
      <c r="N148" s="313">
        <f t="shared" si="6"/>
        <v>2432.2942709999998</v>
      </c>
      <c r="O148" s="15"/>
    </row>
    <row r="149" spans="1:15" ht="15" thickBot="1">
      <c r="A149">
        <f t="shared" si="7"/>
        <v>49</v>
      </c>
      <c r="B149" s="61" t="s">
        <v>162</v>
      </c>
      <c r="C149" s="61"/>
      <c r="D149" s="61"/>
      <c r="E149" s="61"/>
      <c r="F149" s="61"/>
      <c r="G149" s="112">
        <v>2131</v>
      </c>
      <c r="H149" s="72">
        <f t="shared" si="8"/>
        <v>2473.0255000000002</v>
      </c>
      <c r="I149" s="61"/>
      <c r="J149" s="61"/>
      <c r="K149" s="61"/>
      <c r="L149" s="61"/>
      <c r="M149" s="61"/>
      <c r="N149" s="313">
        <f t="shared" si="6"/>
        <v>2594.2037495</v>
      </c>
      <c r="O149" s="15"/>
    </row>
    <row r="150" spans="1:15" ht="15" thickBot="1">
      <c r="A150">
        <v>50</v>
      </c>
      <c r="B150" s="61" t="s">
        <v>167</v>
      </c>
      <c r="C150" s="61"/>
      <c r="D150" s="61"/>
      <c r="E150" s="61"/>
      <c r="F150" s="61"/>
      <c r="G150" s="112">
        <v>2140</v>
      </c>
      <c r="H150" s="72">
        <f t="shared" si="8"/>
        <v>2483.4700000000003</v>
      </c>
      <c r="I150" s="61"/>
      <c r="J150" s="61"/>
      <c r="K150" s="61"/>
      <c r="L150" s="61"/>
      <c r="M150" s="61"/>
      <c r="N150" s="313">
        <f t="shared" si="6"/>
        <v>2605.16003</v>
      </c>
      <c r="O150" s="15"/>
    </row>
    <row r="151" spans="1:15" ht="15" thickBot="1">
      <c r="A151">
        <v>51</v>
      </c>
      <c r="B151" s="61" t="s">
        <v>344</v>
      </c>
      <c r="C151" s="61"/>
      <c r="D151" s="61"/>
      <c r="E151" s="61"/>
      <c r="F151" s="61"/>
      <c r="G151" s="119">
        <v>62</v>
      </c>
      <c r="H151" s="72">
        <f t="shared" si="8"/>
        <v>71.951000000000008</v>
      </c>
      <c r="I151" s="61"/>
      <c r="J151" s="61"/>
      <c r="K151" s="61"/>
      <c r="L151" s="61"/>
      <c r="M151" s="61"/>
      <c r="N151" s="313">
        <f t="shared" si="6"/>
        <v>75.476599000000007</v>
      </c>
      <c r="O151" s="15"/>
    </row>
    <row r="152" spans="1:15" ht="15" thickBot="1">
      <c r="A152">
        <v>52</v>
      </c>
      <c r="B152" s="61" t="s">
        <v>542</v>
      </c>
      <c r="C152" s="61"/>
      <c r="D152" s="61"/>
      <c r="E152" s="61"/>
      <c r="F152" s="61"/>
      <c r="G152" s="112" t="s">
        <v>32</v>
      </c>
      <c r="H152" s="72" t="s">
        <v>9</v>
      </c>
      <c r="I152" s="61"/>
      <c r="J152" s="61"/>
      <c r="K152" s="61"/>
      <c r="L152" s="61"/>
      <c r="M152" s="61"/>
      <c r="N152" s="313"/>
      <c r="O152" s="15"/>
    </row>
    <row r="153" spans="1:15" ht="15" thickBot="1">
      <c r="A153">
        <v>53</v>
      </c>
      <c r="B153" s="61" t="s">
        <v>523</v>
      </c>
      <c r="C153" s="61"/>
      <c r="D153" s="61"/>
      <c r="E153" s="61"/>
      <c r="F153" s="61"/>
      <c r="G153" s="112">
        <v>679</v>
      </c>
      <c r="H153" s="72">
        <f t="shared" si="8"/>
        <v>787.97950000000003</v>
      </c>
      <c r="I153" s="61"/>
      <c r="J153" s="61"/>
      <c r="K153" s="61"/>
      <c r="L153" s="61"/>
      <c r="M153" s="61"/>
      <c r="N153" s="313">
        <f t="shared" si="6"/>
        <v>826.59049549999997</v>
      </c>
      <c r="O153" t="s">
        <v>524</v>
      </c>
    </row>
    <row r="154" spans="1:15" ht="15" thickBot="1">
      <c r="A154">
        <v>54</v>
      </c>
      <c r="B154" s="61" t="s">
        <v>525</v>
      </c>
      <c r="C154" s="61"/>
      <c r="D154" s="61"/>
      <c r="E154" s="61"/>
      <c r="F154" s="61"/>
      <c r="G154" s="112">
        <v>3216</v>
      </c>
      <c r="H154" s="72">
        <f t="shared" si="8"/>
        <v>3732.1680000000001</v>
      </c>
      <c r="I154" s="61"/>
      <c r="J154" s="61"/>
      <c r="K154" s="61"/>
      <c r="L154" s="61"/>
      <c r="M154" s="61"/>
      <c r="N154" s="313">
        <f t="shared" si="6"/>
        <v>3915.0442319999997</v>
      </c>
      <c r="O154" t="s">
        <v>526</v>
      </c>
    </row>
    <row r="155" spans="1:15" ht="15" thickBot="1">
      <c r="A155">
        <v>55</v>
      </c>
      <c r="B155" s="61" t="s">
        <v>527</v>
      </c>
      <c r="C155" s="61"/>
      <c r="D155" s="61"/>
      <c r="E155" s="61"/>
      <c r="F155" s="61"/>
      <c r="G155" s="112" t="s">
        <v>32</v>
      </c>
      <c r="H155" s="72" t="s">
        <v>9</v>
      </c>
      <c r="I155" s="61"/>
      <c r="J155" s="61"/>
      <c r="K155" s="61"/>
      <c r="L155" s="61"/>
      <c r="M155" s="61"/>
      <c r="N155" s="313"/>
      <c r="O155" s="15"/>
    </row>
    <row r="156" spans="1:15" ht="15" thickBot="1">
      <c r="A156">
        <v>56</v>
      </c>
      <c r="B156" s="61" t="s">
        <v>555</v>
      </c>
      <c r="C156" s="61"/>
      <c r="D156" s="61"/>
      <c r="E156" s="61"/>
      <c r="F156" s="61"/>
      <c r="G156" s="119">
        <v>431</v>
      </c>
      <c r="H156" s="72">
        <f t="shared" si="8"/>
        <v>500.17550000000006</v>
      </c>
      <c r="I156" s="61"/>
      <c r="J156" s="61"/>
      <c r="K156" s="61"/>
      <c r="L156" s="61"/>
      <c r="M156" s="61"/>
      <c r="N156" s="313">
        <f t="shared" si="6"/>
        <v>524.6840995</v>
      </c>
      <c r="O156" s="15"/>
    </row>
    <row r="157" spans="1:15" ht="15" thickBot="1">
      <c r="A157">
        <v>57</v>
      </c>
      <c r="B157" s="61" t="s">
        <v>556</v>
      </c>
      <c r="C157" s="61"/>
      <c r="D157" s="61"/>
      <c r="E157" s="61"/>
      <c r="F157" s="61"/>
      <c r="G157" s="112">
        <v>280</v>
      </c>
      <c r="H157" s="72">
        <f t="shared" si="8"/>
        <v>324.94</v>
      </c>
      <c r="I157" s="61"/>
      <c r="J157" s="61"/>
      <c r="K157" s="61"/>
      <c r="L157" s="61"/>
      <c r="M157" s="61"/>
      <c r="N157" s="313">
        <f t="shared" si="6"/>
        <v>340.86205999999999</v>
      </c>
      <c r="O157" s="15"/>
    </row>
    <row r="158" spans="1:15" ht="15" thickBot="1">
      <c r="A158">
        <v>58</v>
      </c>
      <c r="B158" s="61" t="s">
        <v>186</v>
      </c>
      <c r="C158" s="61"/>
      <c r="D158" s="61"/>
      <c r="E158" s="61"/>
      <c r="F158" s="61"/>
      <c r="G158" s="112">
        <v>2467</v>
      </c>
      <c r="H158" s="72">
        <f t="shared" si="8"/>
        <v>2862.9535000000001</v>
      </c>
      <c r="I158" s="61"/>
      <c r="J158" s="61"/>
      <c r="K158" s="61"/>
      <c r="L158" s="61"/>
      <c r="M158" s="61"/>
      <c r="N158" s="313">
        <f t="shared" si="6"/>
        <v>3003.2382214999998</v>
      </c>
      <c r="O158" s="15"/>
    </row>
    <row r="159" spans="1:15" ht="15" thickBot="1">
      <c r="A159">
        <v>59</v>
      </c>
      <c r="B159" s="61" t="s">
        <v>185</v>
      </c>
      <c r="C159" s="61"/>
      <c r="D159" s="61"/>
      <c r="E159" s="61"/>
      <c r="F159" s="61"/>
      <c r="G159" s="112">
        <v>215</v>
      </c>
      <c r="H159" s="72">
        <f t="shared" si="8"/>
        <v>249.50750000000002</v>
      </c>
      <c r="I159" s="61"/>
      <c r="J159" s="61"/>
      <c r="K159" s="61"/>
      <c r="L159" s="61"/>
      <c r="M159" s="61"/>
      <c r="N159" s="313">
        <f t="shared" si="6"/>
        <v>261.73336749999999</v>
      </c>
      <c r="O159" s="15"/>
    </row>
    <row r="160" spans="1:15" ht="15" thickBot="1">
      <c r="A160">
        <v>60</v>
      </c>
      <c r="B160" s="61" t="s">
        <v>570</v>
      </c>
      <c r="C160" s="61"/>
      <c r="D160" s="61"/>
      <c r="E160" s="61"/>
      <c r="F160" s="61"/>
      <c r="G160" s="119">
        <v>749</v>
      </c>
      <c r="H160" s="72">
        <f t="shared" si="8"/>
        <v>869.21450000000004</v>
      </c>
      <c r="I160" s="61"/>
      <c r="J160" s="61"/>
      <c r="K160" s="61"/>
      <c r="L160" s="61"/>
      <c r="M160" s="61"/>
      <c r="N160" s="313">
        <f t="shared" si="6"/>
        <v>911.80601049999996</v>
      </c>
      <c r="O160" s="15"/>
    </row>
    <row r="161" spans="1:15" ht="15" thickBot="1">
      <c r="A161">
        <v>61</v>
      </c>
      <c r="B161" s="61" t="s">
        <v>194</v>
      </c>
      <c r="C161" s="61"/>
      <c r="D161" s="61"/>
      <c r="E161" s="61"/>
      <c r="F161" s="61"/>
      <c r="G161" s="119">
        <v>79</v>
      </c>
      <c r="H161" s="72">
        <f t="shared" si="8"/>
        <v>91.679500000000004</v>
      </c>
      <c r="I161" s="61"/>
      <c r="J161" s="61"/>
      <c r="K161" s="61"/>
      <c r="L161" s="61"/>
      <c r="M161" s="61"/>
      <c r="N161" s="313">
        <f t="shared" si="6"/>
        <v>96.171795500000002</v>
      </c>
      <c r="O161" s="15"/>
    </row>
    <row r="162" spans="1:15" ht="15" thickBot="1">
      <c r="A162">
        <v>62</v>
      </c>
      <c r="B162" s="61" t="s">
        <v>195</v>
      </c>
      <c r="C162" s="61"/>
      <c r="D162" s="61"/>
      <c r="E162" s="61"/>
      <c r="F162" s="61"/>
      <c r="G162" s="119">
        <v>85</v>
      </c>
      <c r="H162" s="72">
        <f t="shared" si="8"/>
        <v>98.642500000000013</v>
      </c>
      <c r="I162" s="61"/>
      <c r="J162" s="61"/>
      <c r="K162" s="61"/>
      <c r="L162" s="61"/>
      <c r="M162" s="61"/>
      <c r="N162" s="313">
        <f t="shared" si="6"/>
        <v>103.4759825</v>
      </c>
      <c r="O162" s="15"/>
    </row>
    <row r="163" spans="1:15" ht="15" thickBot="1">
      <c r="A163">
        <v>62</v>
      </c>
      <c r="B163" s="61" t="s">
        <v>562</v>
      </c>
      <c r="C163" s="61"/>
      <c r="D163" s="61"/>
      <c r="E163" s="61"/>
      <c r="F163" s="61"/>
      <c r="G163" s="119">
        <v>7196</v>
      </c>
      <c r="H163" s="72">
        <f t="shared" si="8"/>
        <v>8350.9580000000005</v>
      </c>
      <c r="I163" s="61"/>
      <c r="J163" s="61"/>
      <c r="K163" s="61"/>
      <c r="L163" s="61"/>
      <c r="M163" s="61"/>
      <c r="N163" s="313">
        <f t="shared" si="6"/>
        <v>8760.1549419999992</v>
      </c>
      <c r="O163" s="15"/>
    </row>
    <row r="164" spans="1:15" ht="15" thickBot="1">
      <c r="A164">
        <v>63</v>
      </c>
      <c r="B164" s="61" t="s">
        <v>563</v>
      </c>
      <c r="C164" s="61"/>
      <c r="D164" s="61"/>
      <c r="E164" s="61"/>
      <c r="F164" s="61"/>
      <c r="G164" s="119">
        <v>7848</v>
      </c>
      <c r="H164" s="72">
        <f t="shared" si="8"/>
        <v>9107.6040000000012</v>
      </c>
      <c r="I164" s="61"/>
      <c r="J164" s="61"/>
      <c r="K164" s="61"/>
      <c r="L164" s="61"/>
      <c r="M164" s="61"/>
      <c r="N164" s="313">
        <f t="shared" si="6"/>
        <v>9553.8765960000001</v>
      </c>
      <c r="O164" s="15"/>
    </row>
    <row r="165" spans="1:15" ht="15" thickBot="1">
      <c r="A165">
        <v>64</v>
      </c>
      <c r="B165" s="61" t="s">
        <v>571</v>
      </c>
      <c r="C165" s="61"/>
      <c r="D165" s="61"/>
      <c r="E165" s="61"/>
      <c r="F165" s="61"/>
      <c r="G165" s="119">
        <v>9109</v>
      </c>
      <c r="H165" s="72">
        <f t="shared" si="8"/>
        <v>10570.994500000001</v>
      </c>
      <c r="I165" s="61"/>
      <c r="J165" s="61"/>
      <c r="K165" s="61"/>
      <c r="L165" s="61"/>
      <c r="M165" s="61"/>
      <c r="N165" s="313">
        <f t="shared" ref="N165:N173" si="9">H165*1.049</f>
        <v>11088.9732305</v>
      </c>
      <c r="O165" s="15"/>
    </row>
    <row r="166" spans="1:15" ht="15" thickBot="1">
      <c r="A166">
        <v>65</v>
      </c>
      <c r="B166" s="61" t="s">
        <v>572</v>
      </c>
      <c r="C166" s="61"/>
      <c r="D166" s="61"/>
      <c r="E166" s="61"/>
      <c r="F166" s="61"/>
      <c r="G166" s="119">
        <v>2891</v>
      </c>
      <c r="H166" s="72">
        <f t="shared" ref="H166:H173" si="10">SUM(G166*1.1605)</f>
        <v>3355.0055000000002</v>
      </c>
      <c r="I166" s="61"/>
      <c r="J166" s="61"/>
      <c r="K166" s="61"/>
      <c r="L166" s="61"/>
      <c r="M166" s="61"/>
      <c r="N166" s="313">
        <f t="shared" si="9"/>
        <v>3519.4007695</v>
      </c>
      <c r="O166" s="15"/>
    </row>
    <row r="167" spans="1:15" ht="15" thickBot="1">
      <c r="A167">
        <v>66</v>
      </c>
      <c r="B167" s="61" t="s">
        <v>573</v>
      </c>
      <c r="C167" s="61"/>
      <c r="D167" s="61"/>
      <c r="E167" s="61"/>
      <c r="F167" s="61"/>
      <c r="G167" s="119">
        <v>3561</v>
      </c>
      <c r="H167" s="72">
        <f t="shared" si="10"/>
        <v>4132.5405000000001</v>
      </c>
      <c r="I167" s="61"/>
      <c r="J167" s="61"/>
      <c r="K167" s="61"/>
      <c r="L167" s="61"/>
      <c r="M167" s="61"/>
      <c r="N167" s="313">
        <f t="shared" si="9"/>
        <v>4335.0349845000001</v>
      </c>
      <c r="O167" s="15"/>
    </row>
    <row r="168" spans="1:15" ht="15" thickBot="1">
      <c r="A168">
        <v>67</v>
      </c>
      <c r="B168" s="61" t="s">
        <v>574</v>
      </c>
      <c r="C168" s="61"/>
      <c r="D168" s="61"/>
      <c r="E168" s="61"/>
      <c r="F168" s="61"/>
      <c r="G168" s="119">
        <v>3692</v>
      </c>
      <c r="H168" s="72">
        <f t="shared" si="10"/>
        <v>4284.5660000000007</v>
      </c>
      <c r="I168" s="61"/>
      <c r="J168" s="61"/>
      <c r="K168" s="61"/>
      <c r="L168" s="61"/>
      <c r="M168" s="61"/>
      <c r="N168" s="313">
        <f t="shared" si="9"/>
        <v>4494.5097340000002</v>
      </c>
      <c r="O168" s="15"/>
    </row>
    <row r="169" spans="1:15" ht="15" thickBot="1">
      <c r="A169">
        <v>68</v>
      </c>
      <c r="B169" s="61" t="s">
        <v>575</v>
      </c>
      <c r="C169" s="61"/>
      <c r="D169" s="61"/>
      <c r="E169" s="61"/>
      <c r="F169" s="61"/>
      <c r="G169" s="119">
        <v>1578</v>
      </c>
      <c r="H169" s="72">
        <f t="shared" si="10"/>
        <v>1831.2690000000002</v>
      </c>
      <c r="I169" s="61"/>
      <c r="J169" s="61"/>
      <c r="K169" s="61"/>
      <c r="L169" s="61"/>
      <c r="M169" s="61"/>
      <c r="N169" s="313">
        <f t="shared" si="9"/>
        <v>1921.0011810000001</v>
      </c>
      <c r="O169" s="15"/>
    </row>
    <row r="170" spans="1:15" ht="15" thickBot="1">
      <c r="A170">
        <v>69</v>
      </c>
      <c r="B170" s="61" t="s">
        <v>576</v>
      </c>
      <c r="C170" s="61"/>
      <c r="D170" s="61"/>
      <c r="E170" s="61"/>
      <c r="F170" s="61"/>
      <c r="G170" s="119">
        <v>279</v>
      </c>
      <c r="H170" s="72">
        <f t="shared" si="10"/>
        <v>323.77950000000004</v>
      </c>
      <c r="I170" s="61"/>
      <c r="J170" s="61"/>
      <c r="K170" s="61"/>
      <c r="L170" s="61"/>
      <c r="M170" s="61"/>
      <c r="N170" s="313">
        <f t="shared" si="9"/>
        <v>339.64469550000001</v>
      </c>
      <c r="O170" s="15"/>
    </row>
    <row r="171" spans="1:15" ht="15" thickBot="1">
      <c r="A171">
        <v>70</v>
      </c>
      <c r="B171" s="61" t="s">
        <v>577</v>
      </c>
      <c r="C171" s="61"/>
      <c r="D171" s="61"/>
      <c r="E171" s="61"/>
      <c r="F171" s="61"/>
      <c r="G171" s="119">
        <v>4793</v>
      </c>
      <c r="H171" s="72">
        <f t="shared" si="10"/>
        <v>5562.2765000000009</v>
      </c>
      <c r="I171" s="61"/>
      <c r="J171" s="61"/>
      <c r="K171" s="61"/>
      <c r="L171" s="61"/>
      <c r="M171" s="61"/>
      <c r="N171" s="313">
        <f t="shared" si="9"/>
        <v>5834.8280485000005</v>
      </c>
      <c r="O171" s="15"/>
    </row>
    <row r="172" spans="1:15" ht="15" thickBot="1">
      <c r="A172">
        <v>71</v>
      </c>
      <c r="B172" s="61" t="s">
        <v>578</v>
      </c>
      <c r="C172" s="61"/>
      <c r="D172" s="61"/>
      <c r="E172" s="61"/>
      <c r="F172" s="61"/>
      <c r="G172" s="119">
        <v>4967</v>
      </c>
      <c r="H172" s="72">
        <f t="shared" si="10"/>
        <v>5764.2035000000005</v>
      </c>
      <c r="I172" s="61"/>
      <c r="J172" s="61"/>
      <c r="K172" s="61"/>
      <c r="L172" s="61"/>
      <c r="M172" s="61"/>
      <c r="N172" s="313">
        <f t="shared" si="9"/>
        <v>6046.6494714999999</v>
      </c>
      <c r="O172" s="15"/>
    </row>
    <row r="173" spans="1:15" ht="15" thickBot="1">
      <c r="A173">
        <v>72</v>
      </c>
      <c r="B173" s="61" t="s">
        <v>579</v>
      </c>
      <c r="C173" s="61"/>
      <c r="D173" s="61"/>
      <c r="E173" s="61"/>
      <c r="F173" s="61"/>
      <c r="G173" s="119">
        <v>5561</v>
      </c>
      <c r="H173" s="72">
        <f t="shared" si="10"/>
        <v>6453.5405000000001</v>
      </c>
      <c r="I173" s="61"/>
      <c r="J173" s="61"/>
      <c r="K173" s="61"/>
      <c r="L173" s="61"/>
      <c r="M173" s="61"/>
      <c r="N173" s="313">
        <f t="shared" si="9"/>
        <v>6769.7639844999994</v>
      </c>
      <c r="O173" s="15"/>
    </row>
    <row r="174" spans="1:15"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</row>
    <row r="175" spans="1:15">
      <c r="B175" s="61" t="s">
        <v>588</v>
      </c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</row>
    <row r="176" spans="1:15"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</row>
    <row r="177" spans="1:19" ht="15" thickBot="1">
      <c r="B177" s="61" t="s">
        <v>1</v>
      </c>
      <c r="C177" s="61"/>
      <c r="D177" s="61"/>
      <c r="E177" s="61"/>
      <c r="F177" s="61"/>
      <c r="G177" s="84" t="s">
        <v>580</v>
      </c>
      <c r="H177" s="61"/>
      <c r="I177" s="61"/>
      <c r="J177" s="61"/>
      <c r="K177" s="61"/>
      <c r="L177" s="61"/>
      <c r="M177" s="61"/>
    </row>
    <row r="178" spans="1:19"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</row>
    <row r="179" spans="1:19" ht="15" thickBot="1">
      <c r="B179" s="61" t="s">
        <v>2</v>
      </c>
      <c r="C179" s="61"/>
      <c r="D179" s="61"/>
      <c r="E179" s="61"/>
      <c r="F179" s="61"/>
      <c r="G179" s="84" t="s">
        <v>528</v>
      </c>
      <c r="H179" s="61"/>
      <c r="I179" s="61"/>
      <c r="J179" s="61"/>
      <c r="K179" s="61"/>
      <c r="L179" s="61"/>
      <c r="M179" s="61"/>
    </row>
    <row r="180" spans="1:19"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316" t="s">
        <v>961</v>
      </c>
      <c r="O180" s="312"/>
      <c r="P180" s="312"/>
      <c r="Q180" s="312"/>
      <c r="R180" s="312"/>
      <c r="S180" s="312"/>
    </row>
    <row r="181" spans="1:19" ht="15" thickBot="1">
      <c r="B181" s="118" t="s">
        <v>479</v>
      </c>
      <c r="C181" s="61"/>
      <c r="D181" s="61"/>
      <c r="E181" s="61"/>
      <c r="F181" s="61"/>
      <c r="G181" s="112">
        <v>44762</v>
      </c>
      <c r="H181" s="72">
        <v>53237</v>
      </c>
      <c r="I181" s="61"/>
      <c r="J181" s="61"/>
      <c r="K181" s="61"/>
      <c r="L181" s="61"/>
      <c r="M181" s="61"/>
      <c r="N181" s="312" t="s">
        <v>302</v>
      </c>
      <c r="O181" s="312"/>
      <c r="P181" s="312"/>
      <c r="Q181" s="312"/>
      <c r="R181" s="312"/>
      <c r="S181" s="312"/>
    </row>
    <row r="182" spans="1:19">
      <c r="B182" s="118"/>
      <c r="C182" s="61"/>
      <c r="D182" s="61"/>
      <c r="E182" s="61"/>
      <c r="F182" s="61"/>
      <c r="G182" s="65"/>
      <c r="H182" s="178"/>
      <c r="I182" s="61"/>
      <c r="J182" s="61"/>
      <c r="K182" s="61"/>
      <c r="L182" s="61"/>
      <c r="M182" s="61"/>
    </row>
    <row r="183" spans="1:19" ht="15" thickBot="1">
      <c r="B183" s="118" t="s">
        <v>480</v>
      </c>
      <c r="C183" s="61"/>
      <c r="D183" s="61"/>
      <c r="E183" s="61"/>
      <c r="F183" s="61"/>
      <c r="G183" s="112">
        <v>47189</v>
      </c>
      <c r="H183" s="72">
        <v>62390</v>
      </c>
      <c r="I183" s="61"/>
      <c r="J183" s="61"/>
      <c r="K183" s="61"/>
      <c r="L183" s="61"/>
      <c r="M183" s="61"/>
      <c r="N183" s="313">
        <v>70692</v>
      </c>
    </row>
    <row r="184" spans="1:19">
      <c r="B184" s="118"/>
      <c r="C184" s="61"/>
      <c r="D184" s="61"/>
      <c r="E184" s="61"/>
      <c r="F184" s="61"/>
      <c r="G184" s="65"/>
      <c r="H184" s="378" t="s">
        <v>706</v>
      </c>
      <c r="I184" s="379"/>
      <c r="J184" s="379"/>
      <c r="K184" s="379"/>
      <c r="L184" s="379"/>
      <c r="M184" s="379"/>
    </row>
    <row r="185" spans="1:19" ht="15" thickBot="1">
      <c r="B185" s="118" t="s">
        <v>481</v>
      </c>
      <c r="C185" s="61"/>
      <c r="D185" s="61"/>
      <c r="E185" s="61"/>
      <c r="F185" s="61"/>
      <c r="G185" s="112">
        <v>52541</v>
      </c>
      <c r="H185" s="72">
        <v>68491</v>
      </c>
      <c r="I185" s="61"/>
      <c r="J185" s="61"/>
      <c r="K185" s="61"/>
      <c r="L185" s="61"/>
      <c r="M185" s="61"/>
      <c r="N185" s="313">
        <v>78158</v>
      </c>
    </row>
    <row r="186" spans="1:19">
      <c r="B186" s="118"/>
      <c r="C186" s="61"/>
      <c r="D186" s="61"/>
      <c r="E186" s="61"/>
      <c r="F186" s="61"/>
      <c r="G186" s="61"/>
      <c r="H186" s="378" t="s">
        <v>706</v>
      </c>
      <c r="I186" s="379"/>
      <c r="J186" s="379"/>
      <c r="K186" s="379"/>
      <c r="L186" s="379"/>
      <c r="M186" s="379"/>
    </row>
    <row r="187" spans="1:19">
      <c r="B187" s="118" t="s">
        <v>239</v>
      </c>
      <c r="C187" s="61"/>
      <c r="D187" s="61"/>
      <c r="E187" s="375" t="s">
        <v>482</v>
      </c>
      <c r="F187" s="375"/>
      <c r="G187" s="375"/>
      <c r="H187" s="61"/>
      <c r="I187" s="61"/>
      <c r="J187" s="61"/>
      <c r="K187" s="61"/>
      <c r="L187" s="61"/>
      <c r="M187" s="61"/>
    </row>
    <row r="188" spans="1:19">
      <c r="B188" s="118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</row>
    <row r="189" spans="1:19" ht="15" thickBot="1">
      <c r="A189">
        <v>1</v>
      </c>
      <c r="B189" s="118" t="s">
        <v>531</v>
      </c>
      <c r="C189" s="61"/>
      <c r="D189" s="61"/>
      <c r="E189" s="61"/>
      <c r="F189" s="61"/>
      <c r="G189" s="84"/>
      <c r="H189" s="61"/>
      <c r="I189" s="61"/>
      <c r="J189" s="61"/>
      <c r="K189" s="61"/>
      <c r="L189" s="61"/>
      <c r="M189" s="61"/>
    </row>
    <row r="190" spans="1:19" ht="15" thickBot="1">
      <c r="B190" s="61"/>
      <c r="C190" s="118" t="s">
        <v>581</v>
      </c>
      <c r="D190" s="61"/>
      <c r="E190" s="61"/>
      <c r="F190" s="61"/>
      <c r="G190" s="112" t="s">
        <v>9</v>
      </c>
      <c r="H190" s="179" t="s">
        <v>9</v>
      </c>
      <c r="I190" s="61"/>
      <c r="J190" s="61"/>
      <c r="K190" s="61"/>
      <c r="L190" s="61"/>
      <c r="M190" s="61"/>
      <c r="N190" s="313"/>
    </row>
    <row r="191" spans="1:19" ht="15" thickBot="1">
      <c r="B191" s="61"/>
      <c r="C191" s="61" t="s">
        <v>582</v>
      </c>
      <c r="D191" s="61"/>
      <c r="E191" s="61"/>
      <c r="F191" s="61"/>
      <c r="G191" s="112">
        <v>5529</v>
      </c>
      <c r="H191" s="179">
        <v>8797</v>
      </c>
      <c r="I191" s="61"/>
      <c r="J191" s="61"/>
      <c r="K191" s="61"/>
      <c r="L191" s="61"/>
      <c r="M191" s="61"/>
      <c r="N191" s="313">
        <f>H191*1.049</f>
        <v>9228.0529999999999</v>
      </c>
    </row>
    <row r="192" spans="1:19" ht="15" thickBot="1">
      <c r="B192" s="61"/>
      <c r="C192" s="61" t="s">
        <v>583</v>
      </c>
      <c r="D192" s="61"/>
      <c r="E192" s="61"/>
      <c r="F192" s="61"/>
      <c r="G192" s="112">
        <v>5563</v>
      </c>
      <c r="H192" s="179">
        <v>8797</v>
      </c>
      <c r="I192" s="61"/>
      <c r="J192" s="61"/>
      <c r="K192" s="61"/>
      <c r="L192" s="61"/>
      <c r="M192" s="61"/>
      <c r="N192" s="313">
        <f t="shared" ref="N192:N200" si="11">H192*1.049</f>
        <v>9228.0529999999999</v>
      </c>
    </row>
    <row r="193" spans="1:14" ht="15" thickBot="1">
      <c r="B193" s="61"/>
      <c r="C193" s="61" t="s">
        <v>584</v>
      </c>
      <c r="D193" s="61"/>
      <c r="E193" s="61"/>
      <c r="F193" s="61"/>
      <c r="G193" s="112">
        <v>7383</v>
      </c>
      <c r="H193" s="179">
        <v>10396</v>
      </c>
      <c r="I193" s="61"/>
      <c r="J193" s="61"/>
      <c r="K193" s="61"/>
      <c r="L193" s="61"/>
      <c r="M193" s="61"/>
      <c r="N193" s="313">
        <f t="shared" si="11"/>
        <v>10905.403999999999</v>
      </c>
    </row>
    <row r="194" spans="1:14" ht="15" thickBot="1">
      <c r="B194" s="61"/>
      <c r="C194" s="61" t="s">
        <v>585</v>
      </c>
      <c r="D194" s="61"/>
      <c r="E194" s="61"/>
      <c r="F194" s="61"/>
      <c r="G194" s="112">
        <v>7575</v>
      </c>
      <c r="H194" s="179">
        <v>10656</v>
      </c>
      <c r="I194" s="61"/>
      <c r="J194" s="61"/>
      <c r="K194" s="61"/>
      <c r="L194" s="61"/>
      <c r="M194" s="61"/>
      <c r="N194" s="313">
        <f t="shared" si="11"/>
        <v>11178.143999999998</v>
      </c>
    </row>
    <row r="195" spans="1:14" ht="15" thickBot="1">
      <c r="B195" s="61"/>
      <c r="C195" s="61" t="s">
        <v>586</v>
      </c>
      <c r="D195" s="61"/>
      <c r="E195" s="61"/>
      <c r="F195" s="61"/>
      <c r="G195" s="112">
        <v>9806</v>
      </c>
      <c r="H195" s="179">
        <v>12750</v>
      </c>
      <c r="I195" s="61"/>
      <c r="J195" s="61"/>
      <c r="K195" s="61"/>
      <c r="L195" s="61"/>
      <c r="M195" s="61"/>
      <c r="N195" s="313">
        <f t="shared" si="11"/>
        <v>13374.75</v>
      </c>
    </row>
    <row r="196" spans="1:14" ht="15" thickBot="1">
      <c r="B196" s="61"/>
      <c r="C196" s="61" t="s">
        <v>587</v>
      </c>
      <c r="D196" s="61"/>
      <c r="E196" s="61"/>
      <c r="F196" s="61"/>
      <c r="G196" s="112">
        <v>10027</v>
      </c>
      <c r="H196" s="179">
        <v>12950</v>
      </c>
      <c r="I196" s="61"/>
      <c r="J196" s="61"/>
      <c r="K196" s="61"/>
      <c r="L196" s="61"/>
      <c r="M196" s="61"/>
      <c r="N196" s="313">
        <f t="shared" si="11"/>
        <v>13584.55</v>
      </c>
    </row>
    <row r="197" spans="1:14">
      <c r="A197">
        <f>A189+1</f>
        <v>2</v>
      </c>
      <c r="B197" s="118" t="s">
        <v>589</v>
      </c>
      <c r="C197" s="61"/>
      <c r="D197" s="61"/>
      <c r="E197" s="61"/>
      <c r="F197" s="61"/>
      <c r="G197" s="130"/>
      <c r="H197" s="180"/>
      <c r="I197" s="61"/>
      <c r="J197" s="61"/>
      <c r="K197" s="61"/>
      <c r="L197" s="61"/>
      <c r="M197" s="61"/>
      <c r="N197" t="s">
        <v>487</v>
      </c>
    </row>
    <row r="198" spans="1:14" ht="15" thickBot="1">
      <c r="B198" s="118"/>
      <c r="C198" s="61" t="s">
        <v>590</v>
      </c>
      <c r="D198" s="61"/>
      <c r="E198" s="61"/>
      <c r="F198" s="61"/>
      <c r="G198" s="112">
        <v>1964</v>
      </c>
      <c r="H198" s="179">
        <v>2160</v>
      </c>
      <c r="I198" s="61"/>
      <c r="J198" s="61"/>
      <c r="K198" s="61"/>
      <c r="L198" s="61"/>
      <c r="M198" s="61"/>
      <c r="N198" s="313">
        <f t="shared" si="11"/>
        <v>2265.8399999999997</v>
      </c>
    </row>
    <row r="199" spans="1:14" ht="15" thickBot="1">
      <c r="B199" s="118"/>
      <c r="C199" s="61" t="s">
        <v>591</v>
      </c>
      <c r="D199" s="61"/>
      <c r="E199" s="61"/>
      <c r="F199" s="61"/>
      <c r="G199" s="112">
        <v>1733</v>
      </c>
      <c r="H199" s="179">
        <v>1906</v>
      </c>
      <c r="I199" s="61"/>
      <c r="J199" s="61"/>
      <c r="K199" s="61"/>
      <c r="L199" s="61"/>
      <c r="M199" s="61"/>
      <c r="N199" s="313">
        <f t="shared" si="11"/>
        <v>1999.3939999999998</v>
      </c>
    </row>
    <row r="200" spans="1:14" ht="15" thickBot="1">
      <c r="B200" s="118"/>
      <c r="C200" s="61" t="s">
        <v>592</v>
      </c>
      <c r="D200" s="61"/>
      <c r="E200" s="61"/>
      <c r="F200" s="61"/>
      <c r="G200" s="112">
        <v>2639</v>
      </c>
      <c r="H200" s="179">
        <v>2903</v>
      </c>
      <c r="I200" s="61"/>
      <c r="J200" s="61"/>
      <c r="K200" s="61"/>
      <c r="L200" s="61"/>
      <c r="M200" s="61"/>
      <c r="N200" s="313">
        <f t="shared" si="11"/>
        <v>3045.2469999999998</v>
      </c>
    </row>
    <row r="201" spans="1:14" ht="15" thickBot="1">
      <c r="A201">
        <f>A197+1</f>
        <v>3</v>
      </c>
      <c r="B201" s="118" t="s">
        <v>488</v>
      </c>
      <c r="C201" s="61"/>
      <c r="D201" s="61"/>
      <c r="E201" s="61"/>
      <c r="F201" s="61"/>
      <c r="G201" s="112" t="s">
        <v>593</v>
      </c>
      <c r="H201" s="179" t="s">
        <v>593</v>
      </c>
      <c r="I201" s="61"/>
      <c r="J201" s="61"/>
      <c r="K201" s="61"/>
      <c r="L201" s="61"/>
      <c r="M201" s="61"/>
    </row>
    <row r="202" spans="1:14" ht="15" thickBot="1">
      <c r="A202">
        <f t="shared" ref="A202:A259" si="12">A201+1</f>
        <v>4</v>
      </c>
      <c r="B202" s="125" t="s">
        <v>536</v>
      </c>
      <c r="C202" s="61"/>
      <c r="D202" s="61"/>
      <c r="E202" s="61"/>
      <c r="F202" s="61"/>
      <c r="G202" s="112" t="s">
        <v>9</v>
      </c>
      <c r="H202" s="179" t="s">
        <v>707</v>
      </c>
      <c r="I202" s="61"/>
      <c r="J202" s="61"/>
      <c r="K202" s="61"/>
      <c r="L202" s="61"/>
      <c r="M202" s="61"/>
    </row>
    <row r="203" spans="1:14" ht="15" thickBot="1">
      <c r="A203">
        <f t="shared" si="12"/>
        <v>5</v>
      </c>
      <c r="B203" s="118" t="s">
        <v>537</v>
      </c>
      <c r="C203" s="61"/>
      <c r="D203" s="61"/>
      <c r="E203" s="61"/>
      <c r="F203" s="61"/>
      <c r="G203" s="112" t="s">
        <v>9</v>
      </c>
      <c r="H203" s="179" t="s">
        <v>9</v>
      </c>
      <c r="I203" s="61"/>
      <c r="J203" s="61"/>
      <c r="K203" s="61"/>
      <c r="L203" s="61"/>
      <c r="M203" s="61"/>
      <c r="N203" s="313"/>
    </row>
    <row r="204" spans="1:14" ht="15" thickBot="1">
      <c r="A204">
        <f>A203+1</f>
        <v>6</v>
      </c>
      <c r="B204" s="118" t="s">
        <v>538</v>
      </c>
      <c r="C204" s="61"/>
      <c r="D204" s="61"/>
      <c r="E204" s="61"/>
      <c r="F204" s="61"/>
      <c r="G204" s="112">
        <v>4726</v>
      </c>
      <c r="H204" s="179">
        <v>4726</v>
      </c>
      <c r="I204" s="61"/>
      <c r="J204" s="61"/>
      <c r="K204" s="61"/>
      <c r="L204" s="61"/>
      <c r="M204" s="61"/>
      <c r="N204" s="313">
        <f t="shared" ref="N204:N266" si="13">H204*1.049</f>
        <v>4957.5739999999996</v>
      </c>
    </row>
    <row r="205" spans="1:14" ht="15" thickBot="1">
      <c r="A205">
        <f t="shared" si="12"/>
        <v>7</v>
      </c>
      <c r="B205" s="118" t="s">
        <v>500</v>
      </c>
      <c r="C205" s="61"/>
      <c r="D205" s="61"/>
      <c r="E205" s="61"/>
      <c r="F205" s="61"/>
      <c r="G205" s="112">
        <v>495</v>
      </c>
      <c r="H205" s="179">
        <v>544</v>
      </c>
      <c r="I205" s="118"/>
      <c r="J205" s="61"/>
      <c r="K205" s="61"/>
      <c r="L205" s="61"/>
      <c r="M205" s="61"/>
      <c r="N205" s="313">
        <f t="shared" si="13"/>
        <v>570.65599999999995</v>
      </c>
    </row>
    <row r="206" spans="1:14" ht="15" thickBot="1">
      <c r="A206">
        <f t="shared" si="12"/>
        <v>8</v>
      </c>
      <c r="B206" s="118" t="s">
        <v>501</v>
      </c>
      <c r="C206" s="61"/>
      <c r="D206" s="61"/>
      <c r="E206" s="61"/>
      <c r="F206" s="61"/>
      <c r="G206" s="112">
        <v>220</v>
      </c>
      <c r="H206" s="179">
        <v>253</v>
      </c>
      <c r="I206" s="118"/>
      <c r="J206" s="61"/>
      <c r="K206" s="61"/>
      <c r="L206" s="61"/>
      <c r="M206" s="61"/>
      <c r="N206" s="313">
        <f>H206*1.049+399</f>
        <v>664.39699999999993</v>
      </c>
    </row>
    <row r="207" spans="1:14" ht="15" thickBot="1">
      <c r="B207" s="118"/>
      <c r="C207" s="61" t="s">
        <v>594</v>
      </c>
      <c r="D207" s="61"/>
      <c r="E207" s="61"/>
      <c r="F207" s="61"/>
      <c r="G207" s="112"/>
      <c r="H207" s="179"/>
      <c r="I207" s="118"/>
      <c r="J207" s="61"/>
      <c r="K207" s="61"/>
      <c r="L207" s="61"/>
      <c r="M207" s="61"/>
      <c r="N207" s="313"/>
    </row>
    <row r="208" spans="1:14" ht="15" thickBot="1">
      <c r="A208">
        <f>A206+1</f>
        <v>9</v>
      </c>
      <c r="B208" s="118" t="s">
        <v>502</v>
      </c>
      <c r="C208" s="61"/>
      <c r="D208" s="61"/>
      <c r="E208" s="61"/>
      <c r="F208" s="61"/>
      <c r="G208" s="112">
        <v>6789</v>
      </c>
      <c r="H208" s="179">
        <v>7875</v>
      </c>
      <c r="I208" s="118"/>
      <c r="J208" s="61"/>
      <c r="K208" s="61"/>
      <c r="L208" s="61"/>
      <c r="M208" s="61"/>
      <c r="N208" s="313">
        <f>H208*1.049+1277.67</f>
        <v>9538.5450000000001</v>
      </c>
    </row>
    <row r="209" spans="1:14" ht="15" thickBot="1">
      <c r="A209">
        <f t="shared" si="12"/>
        <v>10</v>
      </c>
      <c r="B209" s="118" t="s">
        <v>595</v>
      </c>
      <c r="C209" s="61"/>
      <c r="D209" s="61"/>
      <c r="E209" s="61"/>
      <c r="F209" s="61"/>
      <c r="G209" s="112">
        <v>50</v>
      </c>
      <c r="H209" s="179">
        <v>58</v>
      </c>
      <c r="I209" s="61"/>
      <c r="J209" s="61"/>
      <c r="K209" s="61"/>
      <c r="L209" s="61"/>
      <c r="M209" s="61"/>
      <c r="N209" s="313">
        <f t="shared" si="13"/>
        <v>60.841999999999999</v>
      </c>
    </row>
    <row r="210" spans="1:14" ht="15" thickBot="1">
      <c r="B210" s="118"/>
      <c r="C210" s="61" t="s">
        <v>596</v>
      </c>
      <c r="D210" s="61"/>
      <c r="E210" s="61"/>
      <c r="F210" s="61"/>
      <c r="G210" s="112"/>
      <c r="H210" s="179"/>
      <c r="I210" s="61"/>
      <c r="J210" s="61"/>
      <c r="K210" s="61"/>
      <c r="L210" s="61"/>
      <c r="M210" s="61"/>
      <c r="N210" s="313"/>
    </row>
    <row r="211" spans="1:14" ht="15" thickBot="1">
      <c r="A211">
        <f>A209+1</f>
        <v>11</v>
      </c>
      <c r="B211" s="118" t="s">
        <v>504</v>
      </c>
      <c r="C211" s="61"/>
      <c r="D211" s="61"/>
      <c r="E211" s="61"/>
      <c r="F211" s="61"/>
      <c r="G211" s="112">
        <v>930</v>
      </c>
      <c r="H211" s="179">
        <v>1079</v>
      </c>
      <c r="I211" s="61"/>
      <c r="J211" s="61"/>
      <c r="K211" s="61"/>
      <c r="L211" s="61"/>
      <c r="M211" s="61"/>
      <c r="N211" s="313">
        <f t="shared" si="13"/>
        <v>1131.8709999999999</v>
      </c>
    </row>
    <row r="212" spans="1:14" ht="15" thickBot="1">
      <c r="A212">
        <f t="shared" si="12"/>
        <v>12</v>
      </c>
      <c r="B212" s="118" t="s">
        <v>34</v>
      </c>
      <c r="C212" s="61"/>
      <c r="D212" s="61"/>
      <c r="E212" s="61"/>
      <c r="F212" s="61"/>
      <c r="G212" s="112">
        <v>430</v>
      </c>
      <c r="H212" s="179">
        <v>507</v>
      </c>
      <c r="I212" s="61"/>
      <c r="J212" s="61"/>
      <c r="K212" s="61"/>
      <c r="L212" s="61"/>
      <c r="M212" s="61"/>
      <c r="N212" s="313">
        <f t="shared" si="13"/>
        <v>531.84299999999996</v>
      </c>
    </row>
    <row r="213" spans="1:14" ht="15" thickBot="1">
      <c r="A213">
        <f t="shared" si="12"/>
        <v>13</v>
      </c>
      <c r="B213" s="118" t="s">
        <v>37</v>
      </c>
      <c r="C213" s="61"/>
      <c r="D213" s="61"/>
      <c r="E213" s="61"/>
      <c r="F213" s="61"/>
      <c r="G213" s="112">
        <v>615</v>
      </c>
      <c r="H213" s="179">
        <v>713</v>
      </c>
      <c r="I213" s="61"/>
      <c r="J213" s="61"/>
      <c r="K213" s="61"/>
      <c r="L213" s="61"/>
      <c r="M213" s="61"/>
      <c r="N213" s="313">
        <f>H213*1.049+54.52</f>
        <v>802.45699999999988</v>
      </c>
    </row>
    <row r="214" spans="1:14" ht="15" thickBot="1">
      <c r="A214">
        <f t="shared" si="12"/>
        <v>14</v>
      </c>
      <c r="B214" s="118" t="s">
        <v>39</v>
      </c>
      <c r="C214" s="61"/>
      <c r="D214" s="61"/>
      <c r="E214" s="61"/>
      <c r="F214" s="61"/>
      <c r="G214" s="112">
        <v>1053</v>
      </c>
      <c r="H214" s="179">
        <v>1221</v>
      </c>
      <c r="I214" s="61"/>
      <c r="J214" s="61"/>
      <c r="K214" s="61"/>
      <c r="L214" s="61"/>
      <c r="M214" s="61"/>
      <c r="N214" s="313">
        <f t="shared" si="13"/>
        <v>1280.829</v>
      </c>
    </row>
    <row r="215" spans="1:14" ht="15" thickBot="1">
      <c r="A215">
        <f t="shared" si="12"/>
        <v>15</v>
      </c>
      <c r="B215" s="118" t="s">
        <v>732</v>
      </c>
      <c r="C215" s="61"/>
      <c r="D215" s="61"/>
      <c r="E215" s="61"/>
      <c r="F215" s="61"/>
      <c r="G215" s="112">
        <v>725</v>
      </c>
      <c r="H215" s="179">
        <v>841</v>
      </c>
      <c r="I215" s="61"/>
      <c r="J215" s="61"/>
      <c r="K215" s="61"/>
      <c r="L215" s="61"/>
      <c r="M215" s="61"/>
      <c r="N215" s="313">
        <f t="shared" si="13"/>
        <v>882.20899999999995</v>
      </c>
    </row>
    <row r="216" spans="1:14" ht="15" thickBot="1">
      <c r="B216" s="118"/>
      <c r="C216" s="61" t="s">
        <v>597</v>
      </c>
      <c r="D216" s="61"/>
      <c r="E216" s="61"/>
      <c r="F216" s="61"/>
      <c r="G216" s="112">
        <v>1310</v>
      </c>
      <c r="H216" s="179">
        <v>1520</v>
      </c>
      <c r="I216" s="61"/>
      <c r="J216" s="61"/>
      <c r="K216" s="61"/>
      <c r="L216" s="61"/>
      <c r="M216" s="61"/>
      <c r="N216" s="313">
        <f t="shared" si="13"/>
        <v>1594.4799999999998</v>
      </c>
    </row>
    <row r="217" spans="1:14" ht="15" thickBot="1">
      <c r="A217">
        <f>A215+1</f>
        <v>16</v>
      </c>
      <c r="B217" s="118" t="s">
        <v>506</v>
      </c>
      <c r="C217" s="61"/>
      <c r="D217" s="61"/>
      <c r="E217" s="61"/>
      <c r="F217" s="61"/>
      <c r="G217" s="112">
        <v>50</v>
      </c>
      <c r="H217" s="179">
        <v>60</v>
      </c>
      <c r="I217" s="61"/>
      <c r="J217" s="61"/>
      <c r="K217" s="61"/>
      <c r="L217" s="61"/>
      <c r="M217" s="61"/>
      <c r="N217" s="313">
        <f t="shared" si="13"/>
        <v>62.94</v>
      </c>
    </row>
    <row r="218" spans="1:14" ht="15" thickBot="1">
      <c r="B218" s="118"/>
      <c r="C218" s="61" t="s">
        <v>598</v>
      </c>
      <c r="D218" s="61"/>
      <c r="E218" s="61"/>
      <c r="F218" s="61"/>
      <c r="G218" s="112"/>
      <c r="H218" s="179"/>
      <c r="I218" s="61"/>
      <c r="J218" s="61"/>
      <c r="K218" s="61"/>
      <c r="L218" s="61"/>
      <c r="M218" s="61"/>
      <c r="N218" s="313"/>
    </row>
    <row r="219" spans="1:14" ht="15" thickBot="1">
      <c r="A219">
        <f>A217+1</f>
        <v>17</v>
      </c>
      <c r="B219" s="118" t="s">
        <v>599</v>
      </c>
      <c r="C219" s="61"/>
      <c r="D219" s="61"/>
      <c r="E219" s="61"/>
      <c r="F219" s="61"/>
      <c r="G219" s="112">
        <v>50</v>
      </c>
      <c r="H219" s="179">
        <v>58</v>
      </c>
      <c r="I219" s="61"/>
      <c r="J219" s="61"/>
      <c r="K219" s="61"/>
      <c r="L219" s="61"/>
      <c r="M219" s="61"/>
      <c r="N219" s="313">
        <f t="shared" si="13"/>
        <v>60.841999999999999</v>
      </c>
    </row>
    <row r="220" spans="1:14" ht="15" thickBot="1">
      <c r="B220" s="118"/>
      <c r="C220" s="61" t="s">
        <v>598</v>
      </c>
      <c r="D220" s="61"/>
      <c r="E220" s="61"/>
      <c r="F220" s="61"/>
      <c r="G220" s="112"/>
      <c r="H220" s="179"/>
      <c r="I220" s="61"/>
      <c r="J220" s="61"/>
      <c r="K220" s="61"/>
      <c r="L220" s="61"/>
      <c r="M220" s="61"/>
      <c r="N220" s="313"/>
    </row>
    <row r="221" spans="1:14" ht="15" thickBot="1">
      <c r="A221">
        <f>A219+1</f>
        <v>18</v>
      </c>
      <c r="B221" s="61" t="s">
        <v>70</v>
      </c>
      <c r="C221" s="61"/>
      <c r="D221" s="61"/>
      <c r="E221" s="61"/>
      <c r="F221" s="61"/>
      <c r="G221" s="112">
        <v>110</v>
      </c>
      <c r="H221" s="179">
        <v>128</v>
      </c>
      <c r="I221" s="61"/>
      <c r="J221" s="61"/>
      <c r="K221" s="61"/>
      <c r="L221" s="61"/>
      <c r="M221" s="61"/>
      <c r="N221" s="313">
        <f t="shared" si="13"/>
        <v>134.27199999999999</v>
      </c>
    </row>
    <row r="222" spans="1:14" ht="15" thickBot="1">
      <c r="A222">
        <f t="shared" si="12"/>
        <v>19</v>
      </c>
      <c r="B222" s="61" t="s">
        <v>72</v>
      </c>
      <c r="C222" s="61"/>
      <c r="D222" s="61"/>
      <c r="E222" s="61"/>
      <c r="F222" s="61"/>
      <c r="G222" s="112">
        <v>155</v>
      </c>
      <c r="H222" s="179">
        <v>183</v>
      </c>
      <c r="I222" s="61"/>
      <c r="J222" s="61"/>
      <c r="K222" s="61"/>
      <c r="L222" s="61"/>
      <c r="M222" s="61"/>
      <c r="N222" s="313">
        <f t="shared" si="13"/>
        <v>191.96699999999998</v>
      </c>
    </row>
    <row r="223" spans="1:14" ht="15" thickBot="1">
      <c r="A223">
        <f t="shared" si="12"/>
        <v>20</v>
      </c>
      <c r="B223" s="61" t="s">
        <v>74</v>
      </c>
      <c r="C223" s="61"/>
      <c r="D223" s="61"/>
      <c r="E223" s="61"/>
      <c r="F223" s="61"/>
      <c r="G223" s="112">
        <v>35</v>
      </c>
      <c r="H223" s="179">
        <v>41</v>
      </c>
      <c r="I223" s="61"/>
      <c r="J223" s="61"/>
      <c r="K223" s="61"/>
      <c r="L223" s="61"/>
      <c r="M223" s="61"/>
      <c r="N223" s="313">
        <f t="shared" si="13"/>
        <v>43.009</v>
      </c>
    </row>
    <row r="224" spans="1:14" ht="15" thickBot="1">
      <c r="A224">
        <f t="shared" si="12"/>
        <v>21</v>
      </c>
      <c r="B224" s="61" t="s">
        <v>76</v>
      </c>
      <c r="C224" s="61"/>
      <c r="D224" s="61"/>
      <c r="E224" s="61"/>
      <c r="F224" s="61"/>
      <c r="G224" s="112" t="s">
        <v>9</v>
      </c>
      <c r="H224" s="179" t="s">
        <v>708</v>
      </c>
      <c r="I224" s="61"/>
      <c r="J224" s="61"/>
      <c r="K224" s="61"/>
      <c r="L224" s="61"/>
      <c r="M224" s="61"/>
      <c r="N224" s="313"/>
    </row>
    <row r="225" spans="1:14" ht="15" thickBot="1">
      <c r="A225">
        <f t="shared" si="12"/>
        <v>22</v>
      </c>
      <c r="B225" s="61" t="s">
        <v>510</v>
      </c>
      <c r="C225" s="61"/>
      <c r="D225" s="61"/>
      <c r="E225" s="61"/>
      <c r="F225" s="61"/>
      <c r="G225" s="112">
        <v>1480</v>
      </c>
      <c r="H225" s="179">
        <v>1731</v>
      </c>
      <c r="I225" s="61"/>
      <c r="J225" s="61"/>
      <c r="K225" s="61"/>
      <c r="L225" s="61"/>
      <c r="M225" s="61"/>
      <c r="N225" s="313">
        <f t="shared" si="13"/>
        <v>1815.819</v>
      </c>
    </row>
    <row r="226" spans="1:14" ht="15" thickBot="1">
      <c r="A226">
        <f t="shared" si="12"/>
        <v>23</v>
      </c>
      <c r="B226" s="61" t="s">
        <v>91</v>
      </c>
      <c r="C226" s="61"/>
      <c r="D226" s="61"/>
      <c r="E226" s="61"/>
      <c r="F226" s="61"/>
      <c r="G226" s="112">
        <v>-120</v>
      </c>
      <c r="H226" s="179">
        <v>-140</v>
      </c>
      <c r="I226" s="61"/>
      <c r="J226" s="61"/>
      <c r="K226" s="61"/>
      <c r="L226" s="61"/>
      <c r="M226" s="61"/>
      <c r="N226" s="313">
        <f t="shared" si="13"/>
        <v>-146.85999999999999</v>
      </c>
    </row>
    <row r="227" spans="1:14" ht="15" thickBot="1">
      <c r="A227">
        <f t="shared" si="12"/>
        <v>24</v>
      </c>
      <c r="B227" s="61" t="s">
        <v>93</v>
      </c>
      <c r="C227" s="61"/>
      <c r="D227" s="61"/>
      <c r="E227" s="61"/>
      <c r="F227" s="61"/>
      <c r="G227" s="112">
        <v>-135</v>
      </c>
      <c r="H227" s="179">
        <v>-145</v>
      </c>
      <c r="I227" s="61"/>
      <c r="J227" s="61"/>
      <c r="K227" s="61"/>
      <c r="L227" s="61"/>
      <c r="M227" s="61"/>
      <c r="N227" s="313">
        <f t="shared" si="13"/>
        <v>-152.10499999999999</v>
      </c>
    </row>
    <row r="228" spans="1:14" ht="15" thickBot="1">
      <c r="A228">
        <f t="shared" si="12"/>
        <v>25</v>
      </c>
      <c r="B228" s="61" t="s">
        <v>99</v>
      </c>
      <c r="C228" s="61"/>
      <c r="D228" s="61"/>
      <c r="E228" s="61"/>
      <c r="F228" s="61"/>
      <c r="G228" s="112" t="s">
        <v>9</v>
      </c>
      <c r="H228" s="179" t="s">
        <v>9</v>
      </c>
      <c r="I228" s="61"/>
      <c r="J228" s="61"/>
      <c r="K228" s="61"/>
      <c r="L228" s="61"/>
      <c r="M228" s="61"/>
      <c r="N228" s="313"/>
    </row>
    <row r="229" spans="1:14" ht="15" thickBot="1">
      <c r="A229">
        <f t="shared" si="12"/>
        <v>26</v>
      </c>
      <c r="B229" s="61" t="s">
        <v>101</v>
      </c>
      <c r="C229" s="61"/>
      <c r="D229" s="61"/>
      <c r="E229" s="61"/>
      <c r="F229" s="61"/>
      <c r="G229" s="112" t="s">
        <v>9</v>
      </c>
      <c r="H229" s="179" t="s">
        <v>9</v>
      </c>
      <c r="I229" s="61"/>
      <c r="J229" s="61"/>
      <c r="K229" s="61"/>
      <c r="L229" s="61"/>
      <c r="M229" s="61"/>
      <c r="N229" s="313"/>
    </row>
    <row r="230" spans="1:14" ht="15" thickBot="1">
      <c r="A230">
        <f t="shared" si="12"/>
        <v>27</v>
      </c>
      <c r="B230" s="61" t="s">
        <v>114</v>
      </c>
      <c r="C230" s="61"/>
      <c r="D230" s="61"/>
      <c r="E230" s="61"/>
      <c r="F230" s="61"/>
      <c r="G230" s="112">
        <v>3300</v>
      </c>
      <c r="H230" s="179">
        <v>3960</v>
      </c>
      <c r="I230" s="61"/>
      <c r="J230" s="61"/>
      <c r="K230" s="61"/>
      <c r="L230" s="61"/>
      <c r="M230" s="61"/>
      <c r="N230" s="313">
        <f t="shared" si="13"/>
        <v>4154.04</v>
      </c>
    </row>
    <row r="231" spans="1:14" ht="15" thickBot="1">
      <c r="A231">
        <f t="shared" si="12"/>
        <v>28</v>
      </c>
      <c r="B231" s="61" t="s">
        <v>116</v>
      </c>
      <c r="C231" s="61"/>
      <c r="D231" s="61"/>
      <c r="E231" s="61"/>
      <c r="F231" s="61"/>
      <c r="G231" s="112">
        <v>4600</v>
      </c>
      <c r="H231" s="179">
        <v>5400</v>
      </c>
      <c r="I231" s="61"/>
      <c r="J231" s="61"/>
      <c r="K231" s="61"/>
      <c r="L231" s="61"/>
      <c r="M231" s="61"/>
      <c r="N231" s="313">
        <f t="shared" si="13"/>
        <v>5664.5999999999995</v>
      </c>
    </row>
    <row r="232" spans="1:14" ht="15" thickBot="1">
      <c r="A232">
        <f t="shared" si="12"/>
        <v>29</v>
      </c>
      <c r="B232" s="61" t="s">
        <v>120</v>
      </c>
      <c r="C232" s="61"/>
      <c r="D232" s="61"/>
      <c r="E232" s="61"/>
      <c r="F232" s="61"/>
      <c r="G232" s="112">
        <v>2800</v>
      </c>
      <c r="H232" s="179">
        <v>3500</v>
      </c>
      <c r="I232" s="61"/>
      <c r="J232" s="61"/>
      <c r="K232" s="61"/>
      <c r="L232" s="61"/>
      <c r="M232" s="61"/>
      <c r="N232" s="313">
        <f t="shared" si="13"/>
        <v>3671.4999999999995</v>
      </c>
    </row>
    <row r="233" spans="1:14" ht="15" thickBot="1">
      <c r="A233">
        <f t="shared" si="12"/>
        <v>30</v>
      </c>
      <c r="B233" s="61" t="s">
        <v>122</v>
      </c>
      <c r="C233" s="61"/>
      <c r="D233" s="61"/>
      <c r="E233" s="61"/>
      <c r="F233" s="61"/>
      <c r="G233" s="112">
        <v>3000</v>
      </c>
      <c r="H233" s="179">
        <v>3700</v>
      </c>
      <c r="I233" s="61"/>
      <c r="J233" s="61"/>
      <c r="K233" s="61"/>
      <c r="L233" s="61"/>
      <c r="M233" s="61"/>
      <c r="N233" s="313">
        <f t="shared" si="13"/>
        <v>3881.2999999999997</v>
      </c>
    </row>
    <row r="234" spans="1:14" ht="15" thickBot="1">
      <c r="A234">
        <f t="shared" si="12"/>
        <v>31</v>
      </c>
      <c r="B234" s="61" t="s">
        <v>124</v>
      </c>
      <c r="C234" s="61"/>
      <c r="D234" s="61"/>
      <c r="E234" s="61"/>
      <c r="F234" s="61"/>
      <c r="G234" s="112">
        <v>3000</v>
      </c>
      <c r="H234" s="179">
        <v>3960</v>
      </c>
      <c r="I234" s="61"/>
      <c r="J234" s="61"/>
      <c r="K234" s="61"/>
      <c r="L234" s="61"/>
      <c r="M234" s="61"/>
      <c r="N234" s="313">
        <f t="shared" si="13"/>
        <v>4154.04</v>
      </c>
    </row>
    <row r="235" spans="1:14" ht="15" thickBot="1">
      <c r="A235">
        <f t="shared" si="12"/>
        <v>32</v>
      </c>
      <c r="B235" s="61" t="s">
        <v>126</v>
      </c>
      <c r="C235" s="61"/>
      <c r="D235" s="61"/>
      <c r="E235" s="61"/>
      <c r="F235" s="61"/>
      <c r="G235" s="112">
        <v>4000</v>
      </c>
      <c r="H235" s="179">
        <v>5000</v>
      </c>
      <c r="I235" s="61"/>
      <c r="J235" s="61"/>
      <c r="K235" s="61"/>
      <c r="L235" s="61"/>
      <c r="M235" s="61"/>
      <c r="N235" s="313">
        <f t="shared" si="13"/>
        <v>5245</v>
      </c>
    </row>
    <row r="236" spans="1:14" ht="15" thickBot="1">
      <c r="A236">
        <f t="shared" si="12"/>
        <v>33</v>
      </c>
      <c r="B236" s="118" t="s">
        <v>511</v>
      </c>
      <c r="C236" s="61"/>
      <c r="D236" s="61"/>
      <c r="E236" s="61"/>
      <c r="F236" s="61"/>
      <c r="G236" s="112">
        <v>330</v>
      </c>
      <c r="H236" s="179">
        <v>380</v>
      </c>
      <c r="I236" s="61"/>
      <c r="J236" s="61"/>
      <c r="K236" s="61"/>
      <c r="L236" s="61"/>
      <c r="M236" s="61"/>
      <c r="N236" s="313">
        <f t="shared" si="13"/>
        <v>398.61999999999995</v>
      </c>
    </row>
    <row r="237" spans="1:14" ht="15" thickBot="1">
      <c r="A237">
        <f t="shared" si="12"/>
        <v>34</v>
      </c>
      <c r="B237" s="118" t="s">
        <v>512</v>
      </c>
      <c r="C237" s="61"/>
      <c r="D237" s="61"/>
      <c r="E237" s="61"/>
      <c r="F237" s="61"/>
      <c r="G237" s="112">
        <v>14</v>
      </c>
      <c r="H237" s="179">
        <v>17</v>
      </c>
      <c r="I237" s="61"/>
      <c r="J237" s="61"/>
      <c r="K237" s="61"/>
      <c r="L237" s="61"/>
      <c r="M237" s="61"/>
      <c r="N237" s="313">
        <f t="shared" si="13"/>
        <v>17.832999999999998</v>
      </c>
    </row>
    <row r="238" spans="1:14" ht="15" thickBot="1">
      <c r="A238">
        <f t="shared" si="12"/>
        <v>35</v>
      </c>
      <c r="B238" s="118" t="s">
        <v>513</v>
      </c>
      <c r="C238" s="61"/>
      <c r="D238" s="61"/>
      <c r="E238" s="61"/>
      <c r="F238" s="61"/>
      <c r="G238" s="112">
        <v>20</v>
      </c>
      <c r="H238" s="179">
        <v>23</v>
      </c>
      <c r="I238" s="61"/>
      <c r="J238" s="61"/>
      <c r="K238" s="61"/>
      <c r="L238" s="61"/>
      <c r="M238" s="61"/>
      <c r="N238" s="313">
        <f t="shared" si="13"/>
        <v>24.126999999999999</v>
      </c>
    </row>
    <row r="239" spans="1:14" ht="15" thickBot="1">
      <c r="A239">
        <f t="shared" si="12"/>
        <v>36</v>
      </c>
      <c r="B239" s="118" t="s">
        <v>514</v>
      </c>
      <c r="C239" s="61"/>
      <c r="D239" s="61"/>
      <c r="E239" s="61"/>
      <c r="F239" s="61"/>
      <c r="G239" s="181"/>
      <c r="H239" s="182"/>
      <c r="I239" s="61"/>
      <c r="J239" s="61"/>
      <c r="K239" s="61"/>
      <c r="L239" s="61"/>
      <c r="M239" s="61"/>
      <c r="N239" s="313">
        <f t="shared" si="13"/>
        <v>0</v>
      </c>
    </row>
    <row r="240" spans="1:14" ht="15" thickBot="1">
      <c r="A240" s="40"/>
      <c r="B240" s="183" t="s">
        <v>600</v>
      </c>
      <c r="C240" s="138"/>
      <c r="D240" s="138"/>
      <c r="E240" s="138"/>
      <c r="F240" s="138"/>
      <c r="G240" s="181"/>
      <c r="H240" s="182"/>
      <c r="I240" s="138"/>
      <c r="J240" s="138"/>
      <c r="K240" s="61"/>
      <c r="L240" s="61"/>
      <c r="M240" s="61"/>
      <c r="N240" s="313">
        <f t="shared" si="13"/>
        <v>0</v>
      </c>
    </row>
    <row r="241" spans="1:14" ht="15" thickBot="1">
      <c r="A241" s="40"/>
      <c r="B241" s="183" t="s">
        <v>601</v>
      </c>
      <c r="C241" s="138"/>
      <c r="D241" s="138"/>
      <c r="E241" s="138"/>
      <c r="F241" s="138"/>
      <c r="G241" s="181">
        <v>0</v>
      </c>
      <c r="H241" s="182">
        <v>0</v>
      </c>
      <c r="I241" s="138"/>
      <c r="J241" s="138"/>
      <c r="K241" s="61"/>
      <c r="L241" s="61"/>
      <c r="M241" s="61"/>
      <c r="N241" s="313">
        <f t="shared" si="13"/>
        <v>0</v>
      </c>
    </row>
    <row r="242" spans="1:14" ht="15" thickBot="1">
      <c r="A242" s="40"/>
      <c r="B242" s="183" t="s">
        <v>602</v>
      </c>
      <c r="C242" s="138"/>
      <c r="D242" s="138"/>
      <c r="E242" s="138"/>
      <c r="F242" s="138"/>
      <c r="G242" s="181">
        <v>180</v>
      </c>
      <c r="H242" s="182">
        <v>180</v>
      </c>
      <c r="I242" s="138"/>
      <c r="J242" s="138"/>
      <c r="K242" s="61"/>
      <c r="L242" s="61"/>
      <c r="M242" s="61"/>
      <c r="N242" s="313">
        <f t="shared" si="13"/>
        <v>188.82</v>
      </c>
    </row>
    <row r="243" spans="1:14" ht="15" thickBot="1">
      <c r="A243" s="40"/>
      <c r="B243" s="183" t="s">
        <v>603</v>
      </c>
      <c r="C243" s="138"/>
      <c r="D243" s="138"/>
      <c r="E243" s="138"/>
      <c r="F243" s="138"/>
      <c r="G243" s="181">
        <v>180</v>
      </c>
      <c r="H243" s="182">
        <v>180</v>
      </c>
      <c r="I243" s="138"/>
      <c r="J243" s="138"/>
      <c r="K243" s="61"/>
      <c r="L243" s="61"/>
      <c r="M243" s="61"/>
      <c r="N243" s="313">
        <f t="shared" si="13"/>
        <v>188.82</v>
      </c>
    </row>
    <row r="244" spans="1:14" ht="15" thickBot="1">
      <c r="A244" s="40"/>
      <c r="B244" s="183" t="s">
        <v>604</v>
      </c>
      <c r="C244" s="138"/>
      <c r="D244" s="138"/>
      <c r="E244" s="138"/>
      <c r="F244" s="138"/>
      <c r="G244" s="181">
        <v>180</v>
      </c>
      <c r="H244" s="182">
        <v>180</v>
      </c>
      <c r="I244" s="138"/>
      <c r="J244" s="138"/>
      <c r="K244" s="61"/>
      <c r="L244" s="61"/>
      <c r="M244" s="61"/>
      <c r="N244" s="313">
        <f t="shared" si="13"/>
        <v>188.82</v>
      </c>
    </row>
    <row r="245" spans="1:14" ht="15" thickBot="1">
      <c r="A245" s="40"/>
      <c r="B245" s="183" t="s">
        <v>605</v>
      </c>
      <c r="C245" s="138"/>
      <c r="D245" s="138"/>
      <c r="E245" s="138"/>
      <c r="F245" s="138"/>
      <c r="G245" s="181">
        <v>180</v>
      </c>
      <c r="H245" s="182">
        <v>180</v>
      </c>
      <c r="I245" s="138"/>
      <c r="J245" s="138"/>
      <c r="K245" s="61"/>
      <c r="L245" s="61"/>
      <c r="M245" s="61"/>
      <c r="N245" s="313">
        <f t="shared" si="13"/>
        <v>188.82</v>
      </c>
    </row>
    <row r="246" spans="1:14" ht="15" thickBot="1">
      <c r="A246" s="40"/>
      <c r="B246" s="183" t="s">
        <v>606</v>
      </c>
      <c r="C246" s="138"/>
      <c r="D246" s="138"/>
      <c r="E246" s="138"/>
      <c r="F246" s="138"/>
      <c r="G246" s="181">
        <v>180</v>
      </c>
      <c r="H246" s="182">
        <v>180</v>
      </c>
      <c r="I246" s="138"/>
      <c r="J246" s="138"/>
      <c r="K246" s="61"/>
      <c r="L246" s="61"/>
      <c r="M246" s="61"/>
      <c r="N246" s="313">
        <f t="shared" si="13"/>
        <v>188.82</v>
      </c>
    </row>
    <row r="247" spans="1:14" ht="15" thickBot="1">
      <c r="A247" s="40"/>
      <c r="B247" s="183" t="s">
        <v>607</v>
      </c>
      <c r="C247" s="138"/>
      <c r="D247" s="138"/>
      <c r="E247" s="138"/>
      <c r="F247" s="138"/>
      <c r="G247" s="181">
        <v>180</v>
      </c>
      <c r="H247" s="182">
        <v>180</v>
      </c>
      <c r="I247" s="138"/>
      <c r="J247" s="138"/>
      <c r="K247" s="61"/>
      <c r="L247" s="61"/>
      <c r="M247" s="61"/>
      <c r="N247" s="313">
        <f t="shared" si="13"/>
        <v>188.82</v>
      </c>
    </row>
    <row r="248" spans="1:14" ht="15" thickBot="1">
      <c r="A248" s="40"/>
      <c r="B248" s="183" t="s">
        <v>608</v>
      </c>
      <c r="C248" s="138"/>
      <c r="D248" s="138"/>
      <c r="E248" s="138"/>
      <c r="F248" s="138"/>
      <c r="G248" s="181">
        <v>180</v>
      </c>
      <c r="H248" s="182">
        <v>180</v>
      </c>
      <c r="I248" s="138"/>
      <c r="J248" s="138"/>
      <c r="K248" s="61"/>
      <c r="L248" s="61"/>
      <c r="M248" s="61"/>
      <c r="N248" s="313">
        <f t="shared" si="13"/>
        <v>188.82</v>
      </c>
    </row>
    <row r="249" spans="1:14" ht="15" thickBot="1">
      <c r="A249" s="40"/>
      <c r="B249" s="183" t="s">
        <v>609</v>
      </c>
      <c r="C249" s="138"/>
      <c r="D249" s="138"/>
      <c r="E249" s="138"/>
      <c r="F249" s="138"/>
      <c r="G249" s="181">
        <v>180</v>
      </c>
      <c r="H249" s="182">
        <v>180</v>
      </c>
      <c r="I249" s="138"/>
      <c r="J249" s="138"/>
      <c r="K249" s="61"/>
      <c r="L249" s="61"/>
      <c r="M249" s="61"/>
      <c r="N249" s="313">
        <f t="shared" si="13"/>
        <v>188.82</v>
      </c>
    </row>
    <row r="250" spans="1:14" ht="15" thickBot="1">
      <c r="A250">
        <f>A239+1</f>
        <v>37</v>
      </c>
      <c r="B250" s="61" t="s">
        <v>516</v>
      </c>
      <c r="C250" s="61"/>
      <c r="D250" s="61"/>
      <c r="E250" s="61"/>
      <c r="F250" s="61"/>
      <c r="G250" s="112" t="s">
        <v>610</v>
      </c>
      <c r="H250" s="179" t="s">
        <v>610</v>
      </c>
      <c r="I250" s="61"/>
      <c r="J250" s="61"/>
      <c r="K250" s="61"/>
      <c r="L250" s="61"/>
      <c r="M250" s="61"/>
      <c r="N250" s="313"/>
    </row>
    <row r="251" spans="1:14" ht="15" thickBot="1">
      <c r="A251">
        <f t="shared" si="12"/>
        <v>38</v>
      </c>
      <c r="B251" s="61" t="s">
        <v>517</v>
      </c>
      <c r="C251" s="61"/>
      <c r="D251" s="61"/>
      <c r="E251" s="61"/>
      <c r="F251" s="61"/>
      <c r="G251" s="112" t="s">
        <v>610</v>
      </c>
      <c r="H251" s="179" t="s">
        <v>610</v>
      </c>
      <c r="I251" s="61"/>
      <c r="J251" s="61"/>
      <c r="K251" s="61"/>
      <c r="L251" s="61"/>
      <c r="M251" s="61"/>
      <c r="N251" s="313"/>
    </row>
    <row r="252" spans="1:14" ht="15" thickBot="1">
      <c r="A252">
        <f t="shared" si="12"/>
        <v>39</v>
      </c>
      <c r="B252" s="61" t="s">
        <v>518</v>
      </c>
      <c r="C252" s="61"/>
      <c r="D252" s="61"/>
      <c r="E252" s="61"/>
      <c r="F252" s="61"/>
      <c r="G252" s="112" t="s">
        <v>9</v>
      </c>
      <c r="H252" s="179" t="s">
        <v>9</v>
      </c>
      <c r="I252" s="61"/>
      <c r="J252" s="61"/>
      <c r="K252" s="61"/>
      <c r="L252" s="61"/>
      <c r="M252" s="61"/>
      <c r="N252" s="313"/>
    </row>
    <row r="253" spans="1:14" ht="15" thickBot="1">
      <c r="A253">
        <f t="shared" si="12"/>
        <v>40</v>
      </c>
      <c r="B253" s="61" t="s">
        <v>519</v>
      </c>
      <c r="C253" s="61"/>
      <c r="D253" s="61"/>
      <c r="E253" s="61"/>
      <c r="F253" s="61"/>
      <c r="G253" s="112" t="s">
        <v>9</v>
      </c>
      <c r="H253" s="179" t="s">
        <v>9</v>
      </c>
      <c r="I253" s="61"/>
      <c r="J253" s="61"/>
      <c r="K253" s="61"/>
      <c r="L253" s="61"/>
      <c r="M253" s="61"/>
      <c r="N253" s="313"/>
    </row>
    <row r="254" spans="1:14" ht="15" thickBot="1">
      <c r="A254">
        <f t="shared" si="12"/>
        <v>41</v>
      </c>
      <c r="B254" s="61" t="s">
        <v>150</v>
      </c>
      <c r="C254" s="61"/>
      <c r="D254" s="61"/>
      <c r="E254" s="61"/>
      <c r="F254" s="61"/>
      <c r="G254" s="112">
        <v>900</v>
      </c>
      <c r="H254" s="179" t="s">
        <v>709</v>
      </c>
      <c r="I254" s="61"/>
      <c r="J254" s="61"/>
      <c r="K254" s="61"/>
      <c r="L254" s="61"/>
      <c r="M254" s="61"/>
      <c r="N254" s="313"/>
    </row>
    <row r="255" spans="1:14" ht="15" thickBot="1">
      <c r="A255">
        <f t="shared" si="12"/>
        <v>42</v>
      </c>
      <c r="B255" s="61" t="s">
        <v>152</v>
      </c>
      <c r="C255" s="61"/>
      <c r="D255" s="61"/>
      <c r="E255" s="61"/>
      <c r="F255" s="61"/>
      <c r="G255" s="112">
        <v>800</v>
      </c>
      <c r="H255" s="179" t="s">
        <v>710</v>
      </c>
      <c r="I255" s="61"/>
      <c r="J255" s="61"/>
      <c r="K255" s="61"/>
      <c r="L255" s="61"/>
      <c r="M255" s="61"/>
      <c r="N255" s="313"/>
    </row>
    <row r="256" spans="1:14" ht="15" thickBot="1">
      <c r="A256">
        <f t="shared" si="12"/>
        <v>43</v>
      </c>
      <c r="B256" s="61" t="s">
        <v>154</v>
      </c>
      <c r="C256" s="61"/>
      <c r="D256" s="61"/>
      <c r="E256" s="61"/>
      <c r="F256" s="61"/>
      <c r="G256" s="112">
        <v>700</v>
      </c>
      <c r="H256" s="179" t="s">
        <v>711</v>
      </c>
      <c r="I256" s="61"/>
      <c r="J256" s="61"/>
      <c r="K256" s="61"/>
      <c r="L256" s="61"/>
      <c r="M256" s="61"/>
      <c r="N256" s="313"/>
    </row>
    <row r="257" spans="1:14" ht="15" thickBot="1">
      <c r="A257">
        <f t="shared" si="12"/>
        <v>44</v>
      </c>
      <c r="B257" s="61" t="s">
        <v>156</v>
      </c>
      <c r="C257" s="61"/>
      <c r="D257" s="61"/>
      <c r="E257" s="61"/>
      <c r="F257" s="61"/>
      <c r="G257" s="112">
        <v>450</v>
      </c>
      <c r="H257" s="179" t="s">
        <v>712</v>
      </c>
      <c r="I257" s="61"/>
      <c r="J257" s="61"/>
      <c r="K257" s="61"/>
      <c r="L257" s="61"/>
      <c r="M257" s="61"/>
      <c r="N257" s="313"/>
    </row>
    <row r="258" spans="1:14" ht="15" thickBot="1">
      <c r="A258">
        <f t="shared" si="12"/>
        <v>45</v>
      </c>
      <c r="B258" s="61" t="s">
        <v>157</v>
      </c>
      <c r="C258" s="61"/>
      <c r="D258" s="61"/>
      <c r="E258" s="61"/>
      <c r="F258" s="61"/>
      <c r="G258" s="112">
        <v>600</v>
      </c>
      <c r="H258" s="179" t="s">
        <v>713</v>
      </c>
      <c r="I258" s="61"/>
      <c r="J258" s="61"/>
      <c r="K258" s="61"/>
      <c r="L258" s="61"/>
      <c r="M258" s="61"/>
      <c r="N258" s="313"/>
    </row>
    <row r="259" spans="1:14" ht="15" thickBot="1">
      <c r="A259">
        <f t="shared" si="12"/>
        <v>46</v>
      </c>
      <c r="B259" s="61" t="s">
        <v>158</v>
      </c>
      <c r="C259" s="61"/>
      <c r="D259" s="61"/>
      <c r="E259" s="61"/>
      <c r="F259" s="61"/>
      <c r="G259" s="112">
        <v>1400</v>
      </c>
      <c r="H259" s="179">
        <v>1650</v>
      </c>
      <c r="I259" s="61"/>
      <c r="J259" s="61"/>
      <c r="K259" s="61"/>
      <c r="L259" s="61"/>
      <c r="M259" s="61"/>
      <c r="N259" s="313">
        <f t="shared" si="13"/>
        <v>1730.85</v>
      </c>
    </row>
    <row r="260" spans="1:14" ht="15" thickBot="1">
      <c r="A260">
        <f>A259+1</f>
        <v>47</v>
      </c>
      <c r="B260" s="61" t="s">
        <v>160</v>
      </c>
      <c r="C260" s="61"/>
      <c r="D260" s="61"/>
      <c r="E260" s="61"/>
      <c r="F260" s="61"/>
      <c r="G260" s="112">
        <v>1400</v>
      </c>
      <c r="H260" s="179">
        <v>1650</v>
      </c>
      <c r="I260" s="61"/>
      <c r="J260" s="61"/>
      <c r="K260" s="61"/>
      <c r="L260" s="61"/>
      <c r="M260" s="61"/>
      <c r="N260" s="313">
        <f t="shared" si="13"/>
        <v>1730.85</v>
      </c>
    </row>
    <row r="261" spans="1:14" ht="15" thickBot="1">
      <c r="A261">
        <f>A260+1</f>
        <v>48</v>
      </c>
      <c r="B261" s="61" t="s">
        <v>161</v>
      </c>
      <c r="C261" s="61"/>
      <c r="D261" s="61"/>
      <c r="E261" s="61"/>
      <c r="F261" s="61"/>
      <c r="G261" s="112">
        <v>1500</v>
      </c>
      <c r="H261" s="179">
        <v>1785</v>
      </c>
      <c r="I261" s="61"/>
      <c r="J261" s="61"/>
      <c r="K261" s="61"/>
      <c r="L261" s="61"/>
      <c r="M261" s="61"/>
      <c r="N261" s="313">
        <f t="shared" si="13"/>
        <v>1872.4649999999999</v>
      </c>
    </row>
    <row r="262" spans="1:14" ht="15" thickBot="1">
      <c r="A262">
        <f>A261+1</f>
        <v>49</v>
      </c>
      <c r="B262" s="61" t="s">
        <v>162</v>
      </c>
      <c r="C262" s="61"/>
      <c r="D262" s="61"/>
      <c r="E262" s="61"/>
      <c r="F262" s="61"/>
      <c r="G262" s="112">
        <v>1600</v>
      </c>
      <c r="H262" s="179">
        <v>1910</v>
      </c>
      <c r="I262" s="61"/>
      <c r="J262" s="61"/>
      <c r="K262" s="61"/>
      <c r="L262" s="61"/>
      <c r="M262" s="61"/>
      <c r="N262" s="313">
        <f t="shared" si="13"/>
        <v>2003.59</v>
      </c>
    </row>
    <row r="263" spans="1:14" ht="15" thickBot="1">
      <c r="A263">
        <v>50</v>
      </c>
      <c r="B263" s="61" t="s">
        <v>167</v>
      </c>
      <c r="C263" s="61"/>
      <c r="D263" s="61"/>
      <c r="E263" s="61"/>
      <c r="F263" s="61"/>
      <c r="G263" s="112" t="s">
        <v>9</v>
      </c>
      <c r="H263" s="179" t="s">
        <v>9</v>
      </c>
      <c r="I263" s="61"/>
      <c r="J263" s="61"/>
      <c r="K263" s="61"/>
      <c r="L263" s="61"/>
      <c r="M263" s="61"/>
      <c r="N263" s="313"/>
    </row>
    <row r="264" spans="1:14" ht="15" thickBot="1">
      <c r="A264">
        <v>51</v>
      </c>
      <c r="B264" s="61" t="s">
        <v>344</v>
      </c>
      <c r="C264" s="61"/>
      <c r="D264" s="61"/>
      <c r="E264" s="61"/>
      <c r="F264" s="61"/>
      <c r="G264" s="112">
        <v>36</v>
      </c>
      <c r="H264" s="179">
        <v>39</v>
      </c>
      <c r="I264" s="61"/>
      <c r="J264" s="61"/>
      <c r="K264" s="61"/>
      <c r="L264" s="61"/>
      <c r="M264" s="61"/>
      <c r="N264" s="313">
        <f t="shared" si="13"/>
        <v>40.910999999999994</v>
      </c>
    </row>
    <row r="265" spans="1:14" ht="15" thickBot="1">
      <c r="A265">
        <v>52</v>
      </c>
      <c r="B265" s="61" t="s">
        <v>611</v>
      </c>
      <c r="C265" s="61"/>
      <c r="D265" s="61"/>
      <c r="E265" s="61"/>
      <c r="F265" s="61"/>
      <c r="G265" s="112"/>
      <c r="H265" s="179"/>
      <c r="I265" s="61"/>
      <c r="J265" s="61"/>
      <c r="K265" s="61"/>
      <c r="L265" s="61"/>
      <c r="M265" s="61"/>
      <c r="N265" s="313">
        <f t="shared" si="13"/>
        <v>0</v>
      </c>
    </row>
    <row r="266" spans="1:14" ht="15" thickBot="1">
      <c r="B266" s="118"/>
      <c r="C266" s="61" t="s">
        <v>590</v>
      </c>
      <c r="D266" s="61"/>
      <c r="E266" s="61"/>
      <c r="F266" s="61"/>
      <c r="G266" s="112">
        <v>4091</v>
      </c>
      <c r="H266" s="179">
        <v>4500</v>
      </c>
      <c r="I266" s="61"/>
      <c r="J266" s="61"/>
      <c r="K266" s="61"/>
      <c r="L266" s="61"/>
      <c r="M266" s="61"/>
      <c r="N266" s="313">
        <f t="shared" si="13"/>
        <v>4720.5</v>
      </c>
    </row>
    <row r="267" spans="1:14" ht="15" thickBot="1">
      <c r="B267" s="118"/>
      <c r="C267" s="61" t="s">
        <v>591</v>
      </c>
      <c r="D267" s="61"/>
      <c r="E267" s="61"/>
      <c r="F267" s="61"/>
      <c r="G267" s="112">
        <v>4414</v>
      </c>
      <c r="H267" s="179">
        <v>4900</v>
      </c>
      <c r="I267" s="61"/>
      <c r="J267" s="61"/>
      <c r="K267" s="61"/>
      <c r="L267" s="61"/>
      <c r="M267" s="61"/>
      <c r="N267" s="313">
        <f t="shared" ref="N267:N280" si="14">H267*1.049</f>
        <v>5140.0999999999995</v>
      </c>
    </row>
    <row r="268" spans="1:14" ht="15" thickBot="1">
      <c r="B268" s="118"/>
      <c r="C268" s="61" t="s">
        <v>592</v>
      </c>
      <c r="D268" s="61"/>
      <c r="E268" s="61"/>
      <c r="F268" s="61"/>
      <c r="G268" s="112">
        <v>5591</v>
      </c>
      <c r="H268" s="179">
        <v>6050</v>
      </c>
      <c r="I268" s="61"/>
      <c r="J268" s="61"/>
      <c r="K268" s="61"/>
      <c r="L268" s="61"/>
      <c r="M268" s="61"/>
      <c r="N268" s="313">
        <f t="shared" si="14"/>
        <v>6346.45</v>
      </c>
    </row>
    <row r="269" spans="1:14" ht="15" thickBot="1">
      <c r="A269">
        <v>53</v>
      </c>
      <c r="B269" s="61" t="s">
        <v>523</v>
      </c>
      <c r="C269" s="61"/>
      <c r="D269" s="61"/>
      <c r="E269" s="61"/>
      <c r="F269" s="61"/>
      <c r="G269" s="112">
        <v>4976</v>
      </c>
      <c r="H269" s="179">
        <v>5900</v>
      </c>
      <c r="I269" s="61"/>
      <c r="J269" s="61"/>
      <c r="K269" s="61"/>
      <c r="L269" s="61"/>
      <c r="M269" s="61"/>
      <c r="N269" s="313">
        <f t="shared" si="14"/>
        <v>6189.0999999999995</v>
      </c>
    </row>
    <row r="270" spans="1:14" ht="15" thickBot="1">
      <c r="A270">
        <v>54</v>
      </c>
      <c r="B270" s="61" t="s">
        <v>525</v>
      </c>
      <c r="C270" s="61"/>
      <c r="D270" s="61"/>
      <c r="E270" s="61"/>
      <c r="F270" s="61"/>
      <c r="G270" s="112" t="s">
        <v>9</v>
      </c>
      <c r="H270" s="179" t="s">
        <v>9</v>
      </c>
      <c r="I270" s="61"/>
      <c r="J270" s="61"/>
      <c r="K270" s="61"/>
      <c r="L270" s="61"/>
      <c r="M270" s="61"/>
      <c r="N270" s="313"/>
    </row>
    <row r="271" spans="1:14" ht="15" thickBot="1">
      <c r="A271">
        <v>55</v>
      </c>
      <c r="B271" s="61" t="s">
        <v>733</v>
      </c>
      <c r="C271" s="61"/>
      <c r="D271" s="61"/>
      <c r="E271" s="61"/>
      <c r="F271" s="61"/>
      <c r="G271" s="112">
        <v>3410</v>
      </c>
      <c r="H271" s="179">
        <v>5326</v>
      </c>
      <c r="I271" s="61"/>
      <c r="J271" s="61"/>
      <c r="K271" s="61"/>
      <c r="L271" s="61"/>
      <c r="M271" s="61"/>
      <c r="N271" s="313">
        <f t="shared" si="14"/>
        <v>5586.9739999999993</v>
      </c>
    </row>
    <row r="272" spans="1:14" ht="15" thickBot="1">
      <c r="B272" s="61"/>
      <c r="C272" s="61" t="s">
        <v>612</v>
      </c>
      <c r="D272" s="61"/>
      <c r="E272" s="61"/>
      <c r="F272" s="61"/>
      <c r="G272" s="112">
        <v>4160</v>
      </c>
      <c r="H272" s="179">
        <v>5809</v>
      </c>
      <c r="I272" s="61"/>
      <c r="J272" s="61"/>
      <c r="K272" s="61"/>
      <c r="L272" s="61"/>
      <c r="M272" s="61"/>
      <c r="N272" s="313">
        <f t="shared" si="14"/>
        <v>6093.6409999999996</v>
      </c>
    </row>
    <row r="273" spans="1:14" ht="15" thickBot="1">
      <c r="A273">
        <v>56</v>
      </c>
      <c r="B273" s="379" t="s">
        <v>613</v>
      </c>
      <c r="C273" s="379"/>
      <c r="D273" s="379"/>
      <c r="E273" s="379"/>
      <c r="F273" s="379"/>
      <c r="G273" s="119">
        <v>5000</v>
      </c>
      <c r="H273" s="184">
        <v>5875</v>
      </c>
      <c r="I273" s="61"/>
      <c r="J273" s="61"/>
      <c r="K273" s="61"/>
      <c r="L273" s="61"/>
      <c r="M273" s="61"/>
      <c r="N273" s="313">
        <f t="shared" si="14"/>
        <v>6162.875</v>
      </c>
    </row>
    <row r="274" spans="1:14" ht="15" thickBot="1">
      <c r="A274">
        <v>57</v>
      </c>
      <c r="B274" s="61" t="s">
        <v>614</v>
      </c>
      <c r="C274" s="61"/>
      <c r="D274" s="61"/>
      <c r="E274" s="61"/>
      <c r="F274" s="61"/>
      <c r="G274" s="112" t="s">
        <v>9</v>
      </c>
      <c r="H274" s="179" t="s">
        <v>9</v>
      </c>
      <c r="I274" s="61"/>
      <c r="J274" s="61"/>
      <c r="K274" s="61"/>
      <c r="L274" s="61"/>
      <c r="M274" s="61"/>
      <c r="N274" s="313"/>
    </row>
    <row r="275" spans="1:14">
      <c r="B275" s="61"/>
      <c r="C275" s="61" t="s">
        <v>615</v>
      </c>
      <c r="D275" s="61"/>
      <c r="E275" s="61"/>
      <c r="F275" s="61"/>
      <c r="G275" s="61"/>
      <c r="H275" s="72"/>
      <c r="I275" s="61"/>
      <c r="J275" s="61"/>
      <c r="K275" s="61"/>
      <c r="L275" s="61"/>
      <c r="M275" s="61"/>
      <c r="N275" s="313"/>
    </row>
    <row r="276" spans="1:14">
      <c r="A276">
        <v>58</v>
      </c>
      <c r="B276" s="61" t="s">
        <v>616</v>
      </c>
      <c r="C276" s="61"/>
      <c r="D276" s="61"/>
      <c r="E276" s="61"/>
      <c r="F276" s="61"/>
      <c r="G276" s="61"/>
      <c r="H276" s="72"/>
      <c r="I276" s="61"/>
      <c r="J276" s="61"/>
      <c r="K276" s="61"/>
      <c r="L276" s="61"/>
      <c r="M276" s="61"/>
      <c r="N276" s="313"/>
    </row>
    <row r="277" spans="1:14" ht="15" thickBot="1">
      <c r="B277" s="61"/>
      <c r="C277" s="61" t="s">
        <v>617</v>
      </c>
      <c r="D277" s="61"/>
      <c r="E277" s="61"/>
      <c r="F277" s="61"/>
      <c r="G277" s="112">
        <v>80</v>
      </c>
      <c r="H277" s="179">
        <v>95</v>
      </c>
      <c r="I277" s="61"/>
      <c r="J277" s="61"/>
      <c r="K277" s="61"/>
      <c r="L277" s="61"/>
      <c r="M277" s="84" t="s">
        <v>623</v>
      </c>
      <c r="N277" s="313">
        <f t="shared" si="14"/>
        <v>99.654999999999987</v>
      </c>
    </row>
    <row r="278" spans="1:14" ht="15" thickBot="1">
      <c r="B278" s="61"/>
      <c r="C278" s="61" t="s">
        <v>618</v>
      </c>
      <c r="D278" s="61"/>
      <c r="E278" s="61"/>
      <c r="F278" s="61"/>
      <c r="G278" s="112">
        <v>160</v>
      </c>
      <c r="H278" s="179">
        <v>190</v>
      </c>
      <c r="I278" s="61"/>
      <c r="J278" s="61"/>
      <c r="K278" s="61"/>
      <c r="L278" s="61"/>
      <c r="M278" s="61"/>
      <c r="N278" s="313">
        <f t="shared" si="14"/>
        <v>199.30999999999997</v>
      </c>
    </row>
    <row r="279" spans="1:14" ht="15" thickBot="1">
      <c r="B279" s="61"/>
      <c r="C279" s="61" t="s">
        <v>619</v>
      </c>
      <c r="D279" s="61"/>
      <c r="E279" s="61"/>
      <c r="F279" s="61"/>
      <c r="G279" s="119" t="s">
        <v>9</v>
      </c>
      <c r="H279" s="184" t="s">
        <v>9</v>
      </c>
      <c r="I279" s="61"/>
      <c r="J279" s="61"/>
      <c r="K279" s="61"/>
      <c r="L279" s="61"/>
      <c r="M279" s="84" t="s">
        <v>624</v>
      </c>
      <c r="N279" s="313"/>
    </row>
    <row r="280" spans="1:14" ht="15" thickBot="1">
      <c r="A280">
        <v>59</v>
      </c>
      <c r="B280" s="61" t="s">
        <v>620</v>
      </c>
      <c r="C280" s="61"/>
      <c r="D280" s="61"/>
      <c r="E280" s="61"/>
      <c r="F280" s="61"/>
      <c r="G280" s="112">
        <v>3890</v>
      </c>
      <c r="H280" s="72">
        <v>4500</v>
      </c>
      <c r="I280" s="61"/>
      <c r="J280" s="61"/>
      <c r="K280" s="61"/>
      <c r="L280" s="61"/>
      <c r="M280" s="61"/>
      <c r="N280" s="313">
        <f t="shared" si="14"/>
        <v>4720.5</v>
      </c>
    </row>
    <row r="281" spans="1:14" ht="15" thickBot="1">
      <c r="B281" s="61" t="s">
        <v>621</v>
      </c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172">
        <v>47089.75</v>
      </c>
    </row>
    <row r="282" spans="1:14">
      <c r="B282" s="61" t="s">
        <v>622</v>
      </c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185"/>
    </row>
    <row r="283" spans="1:14" ht="15" thickBot="1"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172">
        <v>50931.05</v>
      </c>
    </row>
    <row r="284" spans="1:14"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</row>
    <row r="285" spans="1:14">
      <c r="B285" s="61" t="s">
        <v>474</v>
      </c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</row>
    <row r="286" spans="1:14"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</row>
    <row r="287" spans="1:14" ht="15" thickBot="1">
      <c r="B287" s="61" t="s">
        <v>1</v>
      </c>
      <c r="C287" s="61"/>
      <c r="D287" s="61"/>
      <c r="E287" s="61"/>
      <c r="F287" s="61"/>
      <c r="G287" s="84" t="s">
        <v>623</v>
      </c>
      <c r="H287" s="315" t="s">
        <v>892</v>
      </c>
      <c r="I287" s="61"/>
      <c r="J287" s="61"/>
      <c r="K287" s="61"/>
      <c r="L287" s="61"/>
      <c r="M287" s="61"/>
    </row>
    <row r="288" spans="1:14"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</row>
    <row r="289" spans="1:20" ht="15" thickBot="1">
      <c r="B289" s="61" t="s">
        <v>2</v>
      </c>
      <c r="C289" s="61"/>
      <c r="D289" s="61"/>
      <c r="E289" s="61"/>
      <c r="F289" s="61"/>
      <c r="G289" s="84" t="s">
        <v>624</v>
      </c>
      <c r="H289" s="61"/>
      <c r="I289" s="61"/>
      <c r="J289" s="61"/>
      <c r="K289" s="61"/>
      <c r="L289" s="61"/>
      <c r="M289" s="61"/>
      <c r="O289" s="205"/>
      <c r="P289" s="205"/>
      <c r="Q289" s="205"/>
      <c r="R289" s="206"/>
      <c r="S289" s="205"/>
      <c r="T289" s="206"/>
    </row>
    <row r="290" spans="1:20"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O290" s="207"/>
      <c r="P290" s="205"/>
      <c r="Q290" s="205"/>
      <c r="R290" s="206"/>
      <c r="S290" s="205"/>
      <c r="T290" s="206"/>
    </row>
    <row r="291" spans="1:20" ht="15" thickBot="1">
      <c r="B291" s="118" t="s">
        <v>479</v>
      </c>
      <c r="C291" s="61"/>
      <c r="D291" s="61"/>
      <c r="E291" s="61"/>
      <c r="F291" s="61"/>
      <c r="G291" s="172" t="s">
        <v>9</v>
      </c>
      <c r="H291" s="72"/>
      <c r="I291" s="61"/>
      <c r="J291" s="61"/>
      <c r="K291" s="61"/>
      <c r="L291" s="61"/>
      <c r="M291" s="61"/>
      <c r="O291" s="205"/>
      <c r="P291" s="205"/>
      <c r="Q291" s="205"/>
      <c r="R291" s="206"/>
      <c r="S291" s="205"/>
      <c r="T291" s="206"/>
    </row>
    <row r="292" spans="1:20">
      <c r="B292" s="118"/>
      <c r="C292" s="61"/>
      <c r="D292" s="61"/>
      <c r="E292" s="61"/>
      <c r="F292" s="61"/>
      <c r="G292" s="185"/>
      <c r="H292" s="61"/>
      <c r="I292" s="61"/>
      <c r="J292" s="61"/>
      <c r="K292" s="61"/>
      <c r="L292" s="61"/>
      <c r="M292" s="61"/>
      <c r="O292" s="207"/>
      <c r="P292" s="205"/>
      <c r="Q292" s="205"/>
      <c r="R292" s="206"/>
      <c r="S292" s="205"/>
      <c r="T292" s="206"/>
    </row>
    <row r="293" spans="1:20" ht="15" thickBot="1">
      <c r="B293" s="118" t="s">
        <v>480</v>
      </c>
      <c r="C293" s="61"/>
      <c r="D293" s="61"/>
      <c r="E293" s="61"/>
      <c r="F293" s="61"/>
      <c r="G293" s="172"/>
      <c r="H293" s="72">
        <v>73320</v>
      </c>
      <c r="I293" s="61"/>
      <c r="J293" s="61"/>
      <c r="K293" s="61"/>
      <c r="L293" s="61"/>
      <c r="M293" s="61"/>
      <c r="N293" s="313">
        <f>H293*1.031</f>
        <v>75592.92</v>
      </c>
      <c r="O293" t="s">
        <v>736</v>
      </c>
      <c r="P293" s="205"/>
      <c r="Q293" s="205"/>
      <c r="R293" s="205"/>
      <c r="S293" s="205"/>
      <c r="T293" s="205"/>
    </row>
    <row r="294" spans="1:20">
      <c r="B294" s="118"/>
      <c r="C294" s="61"/>
      <c r="D294" s="61"/>
      <c r="E294" s="61"/>
      <c r="F294" s="61"/>
      <c r="G294" s="185"/>
      <c r="H294" s="61"/>
      <c r="I294" s="61"/>
      <c r="J294" s="61"/>
      <c r="K294" s="61"/>
      <c r="L294" s="61"/>
      <c r="M294" s="61"/>
      <c r="P294" s="205"/>
      <c r="Q294" s="205"/>
      <c r="R294" s="205"/>
      <c r="S294" s="205"/>
      <c r="T294" s="205"/>
    </row>
    <row r="295" spans="1:20" ht="15" thickBot="1">
      <c r="B295" s="118" t="s">
        <v>481</v>
      </c>
      <c r="C295" s="61"/>
      <c r="D295" s="61"/>
      <c r="E295" s="61"/>
      <c r="F295" s="61"/>
      <c r="G295" s="172"/>
      <c r="H295" s="72">
        <v>79956</v>
      </c>
      <c r="I295" s="61"/>
      <c r="J295" s="61"/>
      <c r="K295" s="61"/>
      <c r="L295" s="61"/>
      <c r="M295" s="61"/>
      <c r="N295" s="313">
        <f>H295*1.031</f>
        <v>82434.635999999999</v>
      </c>
      <c r="O295" t="s">
        <v>736</v>
      </c>
    </row>
    <row r="296" spans="1:20">
      <c r="B296" s="118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</row>
    <row r="297" spans="1:20">
      <c r="B297" s="118" t="s">
        <v>239</v>
      </c>
      <c r="C297" s="61"/>
      <c r="D297" s="61"/>
      <c r="E297" s="375" t="s">
        <v>482</v>
      </c>
      <c r="F297" s="375"/>
      <c r="G297" s="375"/>
      <c r="H297" s="61"/>
      <c r="I297" s="61"/>
      <c r="J297" s="61"/>
      <c r="K297" s="61"/>
      <c r="L297" s="61"/>
      <c r="M297" s="61"/>
    </row>
    <row r="298" spans="1:20"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</row>
    <row r="299" spans="1:20" ht="15" thickBot="1">
      <c r="A299">
        <v>1</v>
      </c>
      <c r="B299" s="118" t="s">
        <v>531</v>
      </c>
      <c r="C299" s="61"/>
      <c r="D299" s="61"/>
      <c r="E299" s="61"/>
      <c r="F299" s="61"/>
      <c r="G299" s="172">
        <v>7140</v>
      </c>
      <c r="H299" s="72">
        <f>SUM(G299*1.21)</f>
        <v>8639.4</v>
      </c>
      <c r="I299" s="61"/>
      <c r="J299" s="61"/>
      <c r="K299" s="61"/>
      <c r="L299" s="61"/>
      <c r="M299" s="61"/>
      <c r="N299" s="313">
        <f t="shared" ref="N299:N355" si="15">H299*1.031</f>
        <v>8907.2213999999985</v>
      </c>
    </row>
    <row r="300" spans="1:20" ht="15" customHeight="1" thickBot="1">
      <c r="A300">
        <f>A299+1</f>
        <v>2</v>
      </c>
      <c r="B300" s="118" t="s">
        <v>486</v>
      </c>
      <c r="C300" s="61"/>
      <c r="D300" s="61"/>
      <c r="E300" s="61"/>
      <c r="F300" s="61"/>
      <c r="G300" s="172">
        <v>5880</v>
      </c>
      <c r="H300" s="72">
        <f t="shared" ref="H300:H355" si="16">SUM(G300*1.21)</f>
        <v>7114.8</v>
      </c>
      <c r="I300" s="61"/>
      <c r="J300" s="61"/>
      <c r="K300" s="61"/>
      <c r="L300" s="61"/>
      <c r="M300" s="61"/>
      <c r="N300" s="313">
        <f t="shared" si="15"/>
        <v>7335.3588</v>
      </c>
      <c r="O300" s="340" t="s">
        <v>487</v>
      </c>
      <c r="P300" s="340"/>
      <c r="Q300" s="340"/>
    </row>
    <row r="301" spans="1:20" ht="15" thickBot="1">
      <c r="A301">
        <f t="shared" ref="A301:A347" si="17">A300+1</f>
        <v>3</v>
      </c>
      <c r="B301" s="118" t="s">
        <v>488</v>
      </c>
      <c r="C301" s="61"/>
      <c r="D301" s="61"/>
      <c r="E301" s="61"/>
      <c r="F301" s="61"/>
      <c r="G301" s="172">
        <v>275</v>
      </c>
      <c r="H301" s="72">
        <f t="shared" si="16"/>
        <v>332.75</v>
      </c>
      <c r="I301" s="61"/>
      <c r="J301" s="61"/>
      <c r="K301" s="61"/>
      <c r="L301" s="61"/>
      <c r="M301" s="61"/>
      <c r="N301" s="313">
        <f t="shared" si="15"/>
        <v>343.06524999999999</v>
      </c>
    </row>
    <row r="302" spans="1:20" ht="15" thickBot="1">
      <c r="A302">
        <f t="shared" si="17"/>
        <v>4</v>
      </c>
      <c r="B302" s="125" t="s">
        <v>536</v>
      </c>
      <c r="C302" s="61"/>
      <c r="D302" s="61"/>
      <c r="E302" s="61"/>
      <c r="F302" s="61"/>
      <c r="G302" s="161">
        <v>3910</v>
      </c>
      <c r="H302" s="72">
        <f t="shared" si="16"/>
        <v>4731.0999999999995</v>
      </c>
      <c r="I302" s="61"/>
      <c r="J302" s="61"/>
      <c r="K302" s="61"/>
      <c r="L302" s="61"/>
      <c r="M302" s="61"/>
      <c r="N302" s="313">
        <f t="shared" si="15"/>
        <v>4877.7640999999994</v>
      </c>
    </row>
    <row r="303" spans="1:20" ht="15" thickBot="1">
      <c r="A303">
        <f t="shared" si="17"/>
        <v>5</v>
      </c>
      <c r="B303" s="118" t="s">
        <v>537</v>
      </c>
      <c r="C303" s="61"/>
      <c r="D303" s="61"/>
      <c r="E303" s="61"/>
      <c r="F303" s="61"/>
      <c r="G303" s="161" t="s">
        <v>32</v>
      </c>
      <c r="H303" s="72"/>
      <c r="I303" s="61"/>
      <c r="J303" s="61"/>
      <c r="K303" s="61"/>
      <c r="L303" s="61"/>
      <c r="M303" s="61"/>
      <c r="N303" s="313">
        <f t="shared" si="15"/>
        <v>0</v>
      </c>
    </row>
    <row r="304" spans="1:20" ht="15" thickBot="1">
      <c r="A304">
        <f>A303+1</f>
        <v>6</v>
      </c>
      <c r="B304" s="118" t="s">
        <v>538</v>
      </c>
      <c r="C304" s="61"/>
      <c r="D304" s="61"/>
      <c r="E304" s="61"/>
      <c r="F304" s="61"/>
      <c r="G304" s="161">
        <v>5200</v>
      </c>
      <c r="H304" s="72">
        <f t="shared" si="16"/>
        <v>6292</v>
      </c>
      <c r="I304" s="61"/>
      <c r="J304" s="61"/>
      <c r="K304" s="61"/>
      <c r="L304" s="61"/>
      <c r="M304" s="61"/>
      <c r="N304" s="313">
        <f t="shared" si="15"/>
        <v>6487.0519999999997</v>
      </c>
    </row>
    <row r="305" spans="1:15" ht="15" thickBot="1">
      <c r="A305">
        <f t="shared" si="17"/>
        <v>7</v>
      </c>
      <c r="B305" s="118" t="s">
        <v>500</v>
      </c>
      <c r="C305" s="61"/>
      <c r="D305" s="61"/>
      <c r="E305" s="61"/>
      <c r="F305" s="61"/>
      <c r="G305" s="161">
        <v>491</v>
      </c>
      <c r="H305" s="72">
        <f t="shared" si="16"/>
        <v>594.11</v>
      </c>
      <c r="I305" s="118"/>
      <c r="J305" s="61"/>
      <c r="K305" s="61"/>
      <c r="L305" s="61"/>
      <c r="M305" s="61"/>
      <c r="N305" s="313">
        <f t="shared" si="15"/>
        <v>612.52740999999992</v>
      </c>
    </row>
    <row r="306" spans="1:15" ht="15" thickBot="1">
      <c r="A306">
        <f t="shared" si="17"/>
        <v>8</v>
      </c>
      <c r="B306" s="118" t="s">
        <v>501</v>
      </c>
      <c r="C306" s="61"/>
      <c r="D306" s="61"/>
      <c r="E306" s="61"/>
      <c r="F306" s="61"/>
      <c r="G306" s="161">
        <v>675</v>
      </c>
      <c r="H306" s="72">
        <f t="shared" si="16"/>
        <v>816.75</v>
      </c>
      <c r="I306" s="118"/>
      <c r="J306" s="61"/>
      <c r="K306" s="61"/>
      <c r="L306" s="61"/>
      <c r="M306" s="61"/>
      <c r="N306" s="313">
        <f t="shared" si="15"/>
        <v>842.0692499999999</v>
      </c>
    </row>
    <row r="307" spans="1:15" ht="15" thickBot="1">
      <c r="A307">
        <f t="shared" si="17"/>
        <v>9</v>
      </c>
      <c r="B307" s="118" t="s">
        <v>502</v>
      </c>
      <c r="C307" s="61"/>
      <c r="D307" s="61"/>
      <c r="E307" s="61"/>
      <c r="F307" s="61"/>
      <c r="G307" s="161">
        <v>6660</v>
      </c>
      <c r="H307" s="72">
        <f t="shared" si="16"/>
        <v>8058.5999999999995</v>
      </c>
      <c r="I307" s="118"/>
      <c r="J307" s="61"/>
      <c r="K307" s="61"/>
      <c r="L307" s="61"/>
      <c r="M307" s="61"/>
      <c r="N307" s="313">
        <f t="shared" si="15"/>
        <v>8308.4165999999987</v>
      </c>
      <c r="O307" t="s">
        <v>628</v>
      </c>
    </row>
    <row r="308" spans="1:15" ht="15" thickBot="1">
      <c r="A308">
        <f t="shared" si="17"/>
        <v>10</v>
      </c>
      <c r="B308" s="118" t="s">
        <v>503</v>
      </c>
      <c r="C308" s="61"/>
      <c r="D308" s="61"/>
      <c r="E308" s="61"/>
      <c r="F308" s="61"/>
      <c r="G308" s="161">
        <v>64</v>
      </c>
      <c r="H308" s="72">
        <f t="shared" si="16"/>
        <v>77.44</v>
      </c>
      <c r="I308" s="61"/>
      <c r="J308" s="61"/>
      <c r="K308" s="61"/>
      <c r="L308" s="61"/>
      <c r="M308" s="61"/>
      <c r="N308" s="313">
        <f t="shared" si="15"/>
        <v>79.840639999999993</v>
      </c>
      <c r="O308" t="s">
        <v>618</v>
      </c>
    </row>
    <row r="309" spans="1:15" ht="15" thickBot="1">
      <c r="A309">
        <f t="shared" si="17"/>
        <v>11</v>
      </c>
      <c r="B309" s="118" t="s">
        <v>504</v>
      </c>
      <c r="C309" s="61"/>
      <c r="D309" s="61"/>
      <c r="E309" s="61"/>
      <c r="F309" s="61"/>
      <c r="G309" s="161">
        <v>403</v>
      </c>
      <c r="H309" s="72">
        <f t="shared" si="16"/>
        <v>487.63</v>
      </c>
      <c r="I309" s="61"/>
      <c r="J309" s="61"/>
      <c r="K309" s="61"/>
      <c r="L309" s="61"/>
      <c r="M309" s="61"/>
      <c r="N309" s="313">
        <f t="shared" si="15"/>
        <v>502.74652999999995</v>
      </c>
    </row>
    <row r="310" spans="1:15" ht="15" thickBot="1">
      <c r="A310">
        <f t="shared" si="17"/>
        <v>12</v>
      </c>
      <c r="B310" s="118" t="s">
        <v>34</v>
      </c>
      <c r="C310" s="61"/>
      <c r="D310" s="61"/>
      <c r="E310" s="61"/>
      <c r="F310" s="61"/>
      <c r="G310" s="161">
        <v>630.5</v>
      </c>
      <c r="H310" s="72">
        <f t="shared" si="16"/>
        <v>762.90499999999997</v>
      </c>
      <c r="I310" s="61"/>
      <c r="J310" s="61"/>
      <c r="K310" s="61"/>
      <c r="L310" s="61"/>
      <c r="M310" s="61"/>
      <c r="N310" s="313">
        <f t="shared" si="15"/>
        <v>786.55505499999992</v>
      </c>
    </row>
    <row r="311" spans="1:15" ht="15" thickBot="1">
      <c r="A311">
        <f t="shared" si="17"/>
        <v>13</v>
      </c>
      <c r="B311" s="118" t="s">
        <v>37</v>
      </c>
      <c r="C311" s="61"/>
      <c r="D311" s="61"/>
      <c r="E311" s="61"/>
      <c r="F311" s="61"/>
      <c r="G311" s="161">
        <v>864.5</v>
      </c>
      <c r="H311" s="72">
        <f t="shared" si="16"/>
        <v>1046.0450000000001</v>
      </c>
      <c r="I311" s="61"/>
      <c r="J311" s="61"/>
      <c r="K311" s="61"/>
      <c r="L311" s="61"/>
      <c r="M311" s="61"/>
      <c r="N311" s="313">
        <f t="shared" si="15"/>
        <v>1078.472395</v>
      </c>
    </row>
    <row r="312" spans="1:15" ht="15" thickBot="1">
      <c r="A312">
        <f t="shared" si="17"/>
        <v>14</v>
      </c>
      <c r="B312" s="118" t="s">
        <v>39</v>
      </c>
      <c r="C312" s="61"/>
      <c r="D312" s="61"/>
      <c r="E312" s="61"/>
      <c r="F312" s="61"/>
      <c r="G312" s="161">
        <v>1285.7</v>
      </c>
      <c r="H312" s="72">
        <f t="shared" si="16"/>
        <v>1555.6970000000001</v>
      </c>
      <c r="I312" s="61"/>
      <c r="J312" s="61"/>
      <c r="K312" s="61"/>
      <c r="L312" s="61"/>
      <c r="M312" s="61"/>
      <c r="N312" s="313">
        <f t="shared" si="15"/>
        <v>1603.9236069999999</v>
      </c>
    </row>
    <row r="313" spans="1:15" ht="15" thickBot="1">
      <c r="A313">
        <f t="shared" si="17"/>
        <v>15</v>
      </c>
      <c r="B313" s="118" t="s">
        <v>505</v>
      </c>
      <c r="C313" s="61"/>
      <c r="D313" s="61"/>
      <c r="E313" s="61"/>
      <c r="F313" s="61"/>
      <c r="G313" s="161">
        <v>102</v>
      </c>
      <c r="H313" s="72">
        <f t="shared" si="16"/>
        <v>123.42</v>
      </c>
      <c r="I313" s="61"/>
      <c r="J313" s="61"/>
      <c r="K313" s="61"/>
      <c r="L313" s="61"/>
      <c r="M313" s="61"/>
      <c r="N313" s="313">
        <f t="shared" si="15"/>
        <v>127.24601999999999</v>
      </c>
      <c r="O313" t="s">
        <v>625</v>
      </c>
    </row>
    <row r="314" spans="1:15" ht="15" thickBot="1">
      <c r="A314">
        <f t="shared" si="17"/>
        <v>16</v>
      </c>
      <c r="B314" s="118" t="s">
        <v>506</v>
      </c>
      <c r="C314" s="61"/>
      <c r="D314" s="61"/>
      <c r="E314" s="61"/>
      <c r="F314" s="61"/>
      <c r="G314" s="161">
        <v>40</v>
      </c>
      <c r="H314" s="72">
        <f t="shared" si="16"/>
        <v>48.4</v>
      </c>
      <c r="I314" s="61"/>
      <c r="J314" s="61"/>
      <c r="K314" s="61"/>
      <c r="L314" s="61"/>
      <c r="M314" s="61"/>
      <c r="N314" s="313">
        <f t="shared" si="15"/>
        <v>49.900399999999998</v>
      </c>
    </row>
    <row r="315" spans="1:15" ht="15" thickBot="1">
      <c r="A315">
        <f t="shared" si="17"/>
        <v>17</v>
      </c>
      <c r="B315" s="118" t="s">
        <v>507</v>
      </c>
      <c r="C315" s="61"/>
      <c r="D315" s="61"/>
      <c r="E315" s="61"/>
      <c r="F315" s="61"/>
      <c r="G315" s="161">
        <v>44.9</v>
      </c>
      <c r="H315" s="72">
        <f t="shared" si="16"/>
        <v>54.328999999999994</v>
      </c>
      <c r="I315" s="61"/>
      <c r="J315" s="61"/>
      <c r="K315" s="61"/>
      <c r="L315" s="61"/>
      <c r="M315" s="61"/>
      <c r="N315" s="313">
        <f t="shared" si="15"/>
        <v>56.013198999999986</v>
      </c>
    </row>
    <row r="316" spans="1:15" ht="15" thickBot="1">
      <c r="A316">
        <f t="shared" si="17"/>
        <v>18</v>
      </c>
      <c r="B316" s="61" t="s">
        <v>70</v>
      </c>
      <c r="C316" s="61"/>
      <c r="D316" s="61"/>
      <c r="E316" s="61"/>
      <c r="F316" s="61"/>
      <c r="G316" s="161">
        <v>77.739999999999995</v>
      </c>
      <c r="H316" s="72">
        <f t="shared" si="16"/>
        <v>94.065399999999997</v>
      </c>
      <c r="I316" s="61"/>
      <c r="J316" s="61"/>
      <c r="K316" s="61"/>
      <c r="L316" s="61"/>
      <c r="M316" s="61"/>
      <c r="N316" s="313">
        <f t="shared" si="15"/>
        <v>96.981427399999987</v>
      </c>
    </row>
    <row r="317" spans="1:15" ht="15" thickBot="1">
      <c r="A317">
        <f t="shared" si="17"/>
        <v>19</v>
      </c>
      <c r="B317" s="61" t="s">
        <v>72</v>
      </c>
      <c r="C317" s="61"/>
      <c r="D317" s="61"/>
      <c r="E317" s="61"/>
      <c r="F317" s="61"/>
      <c r="G317" s="161">
        <v>123.5</v>
      </c>
      <c r="H317" s="72">
        <f t="shared" si="16"/>
        <v>149.435</v>
      </c>
      <c r="I317" s="61"/>
      <c r="J317" s="61"/>
      <c r="K317" s="61"/>
      <c r="L317" s="61"/>
      <c r="M317" s="61"/>
      <c r="N317" s="313">
        <f t="shared" si="15"/>
        <v>154.06748499999998</v>
      </c>
      <c r="O317" t="s">
        <v>626</v>
      </c>
    </row>
    <row r="318" spans="1:15" ht="15" thickBot="1">
      <c r="A318">
        <f t="shared" si="17"/>
        <v>20</v>
      </c>
      <c r="B318" s="61" t="s">
        <v>74</v>
      </c>
      <c r="C318" s="61"/>
      <c r="D318" s="61"/>
      <c r="E318" s="61"/>
      <c r="F318" s="61"/>
      <c r="G318" s="161">
        <v>211.25</v>
      </c>
      <c r="H318" s="72">
        <f t="shared" si="16"/>
        <v>255.61249999999998</v>
      </c>
      <c r="I318" s="61"/>
      <c r="J318" s="61"/>
      <c r="K318" s="61"/>
      <c r="L318" s="61"/>
      <c r="M318" s="61"/>
      <c r="N318" s="313">
        <f t="shared" si="15"/>
        <v>263.53648749999996</v>
      </c>
      <c r="O318" t="s">
        <v>626</v>
      </c>
    </row>
    <row r="319" spans="1:15" ht="15" thickBot="1">
      <c r="A319">
        <f t="shared" si="17"/>
        <v>21</v>
      </c>
      <c r="B319" s="61" t="s">
        <v>76</v>
      </c>
      <c r="C319" s="61"/>
      <c r="D319" s="61"/>
      <c r="E319" s="61"/>
      <c r="F319" s="61"/>
      <c r="G319" s="161" t="s">
        <v>466</v>
      </c>
      <c r="H319" s="72"/>
      <c r="I319" s="61"/>
      <c r="J319" s="61"/>
      <c r="K319" s="61"/>
      <c r="L319" s="61"/>
      <c r="M319" s="61"/>
      <c r="N319" s="313">
        <f t="shared" si="15"/>
        <v>0</v>
      </c>
    </row>
    <row r="320" spans="1:15" ht="15" thickBot="1">
      <c r="A320">
        <f t="shared" si="17"/>
        <v>22</v>
      </c>
      <c r="B320" s="61" t="s">
        <v>510</v>
      </c>
      <c r="C320" s="61"/>
      <c r="D320" s="61"/>
      <c r="E320" s="61"/>
      <c r="F320" s="61"/>
      <c r="G320" s="161">
        <v>997.58</v>
      </c>
      <c r="H320" s="72">
        <f t="shared" si="16"/>
        <v>1207.0717999999999</v>
      </c>
      <c r="I320" s="61"/>
      <c r="J320" s="61"/>
      <c r="K320" s="61"/>
      <c r="L320" s="61"/>
      <c r="M320" s="61"/>
      <c r="N320" s="313">
        <f t="shared" si="15"/>
        <v>1244.4910257999998</v>
      </c>
    </row>
    <row r="321" spans="1:15" ht="15" thickBot="1">
      <c r="A321">
        <f t="shared" si="17"/>
        <v>23</v>
      </c>
      <c r="B321" s="61" t="s">
        <v>91</v>
      </c>
      <c r="C321" s="61"/>
      <c r="D321" s="61"/>
      <c r="E321" s="61"/>
      <c r="F321" s="61"/>
      <c r="G321" s="161">
        <v>-295</v>
      </c>
      <c r="H321" s="72">
        <f t="shared" si="16"/>
        <v>-356.95</v>
      </c>
      <c r="I321" s="61"/>
      <c r="J321" s="61"/>
      <c r="K321" s="61"/>
      <c r="L321" s="61"/>
      <c r="M321" s="61"/>
      <c r="N321" s="313">
        <f t="shared" si="15"/>
        <v>-368.01544999999993</v>
      </c>
    </row>
    <row r="322" spans="1:15" ht="15" thickBot="1">
      <c r="A322">
        <f t="shared" si="17"/>
        <v>24</v>
      </c>
      <c r="B322" s="61" t="s">
        <v>93</v>
      </c>
      <c r="C322" s="61"/>
      <c r="D322" s="61"/>
      <c r="E322" s="61"/>
      <c r="F322" s="61"/>
      <c r="G322" s="161">
        <v>-330</v>
      </c>
      <c r="H322" s="72">
        <f t="shared" si="16"/>
        <v>-399.3</v>
      </c>
      <c r="I322" s="61"/>
      <c r="J322" s="61"/>
      <c r="K322" s="61"/>
      <c r="L322" s="61"/>
      <c r="M322" s="61"/>
      <c r="N322" s="313">
        <f t="shared" si="15"/>
        <v>-411.67829999999998</v>
      </c>
    </row>
    <row r="323" spans="1:15" ht="15" thickBot="1">
      <c r="A323">
        <f t="shared" si="17"/>
        <v>25</v>
      </c>
      <c r="B323" s="61" t="s">
        <v>99</v>
      </c>
      <c r="C323" s="61"/>
      <c r="D323" s="61"/>
      <c r="E323" s="61"/>
      <c r="F323" s="61"/>
      <c r="G323" s="161" t="s">
        <v>32</v>
      </c>
      <c r="H323" s="72"/>
      <c r="I323" s="61"/>
      <c r="J323" s="61"/>
      <c r="K323" s="61"/>
      <c r="L323" s="61"/>
      <c r="M323" s="61"/>
      <c r="N323" s="313">
        <f t="shared" si="15"/>
        <v>0</v>
      </c>
    </row>
    <row r="324" spans="1:15" ht="15" thickBot="1">
      <c r="A324">
        <f t="shared" si="17"/>
        <v>26</v>
      </c>
      <c r="B324" s="61" t="s">
        <v>101</v>
      </c>
      <c r="C324" s="61"/>
      <c r="D324" s="61"/>
      <c r="E324" s="61"/>
      <c r="F324" s="61"/>
      <c r="G324" s="161" t="s">
        <v>32</v>
      </c>
      <c r="H324" s="72"/>
      <c r="I324" s="61"/>
      <c r="J324" s="61"/>
      <c r="K324" s="61"/>
      <c r="L324" s="61"/>
      <c r="M324" s="61"/>
      <c r="N324" s="313">
        <f t="shared" si="15"/>
        <v>0</v>
      </c>
    </row>
    <row r="325" spans="1:15" ht="15" thickBot="1">
      <c r="A325">
        <f t="shared" si="17"/>
        <v>27</v>
      </c>
      <c r="B325" s="61" t="s">
        <v>114</v>
      </c>
      <c r="C325" s="61"/>
      <c r="D325" s="61"/>
      <c r="E325" s="61"/>
      <c r="F325" s="61"/>
      <c r="G325" s="161">
        <v>3624</v>
      </c>
      <c r="H325" s="72">
        <f t="shared" si="16"/>
        <v>4385.04</v>
      </c>
      <c r="I325" s="61"/>
      <c r="J325" s="61"/>
      <c r="K325" s="61"/>
      <c r="L325" s="61"/>
      <c r="M325" s="61"/>
      <c r="N325" s="313">
        <f t="shared" si="15"/>
        <v>4520.97624</v>
      </c>
    </row>
    <row r="326" spans="1:15" ht="15" thickBot="1">
      <c r="A326">
        <f t="shared" si="17"/>
        <v>28</v>
      </c>
      <c r="B326" s="61" t="s">
        <v>116</v>
      </c>
      <c r="C326" s="61"/>
      <c r="D326" s="61"/>
      <c r="E326" s="61"/>
      <c r="F326" s="61"/>
      <c r="G326" s="161">
        <v>5032</v>
      </c>
      <c r="H326" s="72">
        <f t="shared" si="16"/>
        <v>6088.72</v>
      </c>
      <c r="I326" s="61"/>
      <c r="J326" s="61"/>
      <c r="K326" s="61"/>
      <c r="L326" s="61"/>
      <c r="M326" s="61"/>
      <c r="N326" s="313">
        <f t="shared" si="15"/>
        <v>6277.4703199999994</v>
      </c>
    </row>
    <row r="327" spans="1:15" ht="15" thickBot="1">
      <c r="A327">
        <f t="shared" si="17"/>
        <v>29</v>
      </c>
      <c r="B327" s="61" t="s">
        <v>120</v>
      </c>
      <c r="C327" s="61"/>
      <c r="D327" s="61"/>
      <c r="E327" s="61"/>
      <c r="F327" s="61"/>
      <c r="G327" s="161">
        <v>2973</v>
      </c>
      <c r="H327" s="72">
        <f t="shared" si="16"/>
        <v>3597.33</v>
      </c>
      <c r="I327" s="61"/>
      <c r="J327" s="61"/>
      <c r="K327" s="61"/>
      <c r="L327" s="61"/>
      <c r="M327" s="61"/>
      <c r="N327" s="313">
        <f t="shared" si="15"/>
        <v>3708.8472299999994</v>
      </c>
    </row>
    <row r="328" spans="1:15" ht="15" thickBot="1">
      <c r="A328">
        <f t="shared" si="17"/>
        <v>30</v>
      </c>
      <c r="B328" s="61" t="s">
        <v>122</v>
      </c>
      <c r="C328" s="61"/>
      <c r="D328" s="61"/>
      <c r="E328" s="61"/>
      <c r="F328" s="61"/>
      <c r="G328" s="161" t="s">
        <v>466</v>
      </c>
      <c r="H328" s="72"/>
      <c r="I328" s="61"/>
      <c r="J328" s="61"/>
      <c r="K328" s="61"/>
      <c r="L328" s="61"/>
      <c r="M328" s="61"/>
      <c r="N328" s="313">
        <f t="shared" si="15"/>
        <v>0</v>
      </c>
    </row>
    <row r="329" spans="1:15" ht="15" thickBot="1">
      <c r="A329">
        <f t="shared" si="17"/>
        <v>31</v>
      </c>
      <c r="B329" s="61" t="s">
        <v>124</v>
      </c>
      <c r="C329" s="61"/>
      <c r="D329" s="61"/>
      <c r="E329" s="61"/>
      <c r="F329" s="61"/>
      <c r="G329" s="161">
        <v>3150</v>
      </c>
      <c r="H329" s="72">
        <f t="shared" si="16"/>
        <v>3811.5</v>
      </c>
      <c r="I329" s="61"/>
      <c r="J329" s="61"/>
      <c r="K329" s="61"/>
      <c r="L329" s="61"/>
      <c r="M329" s="61"/>
      <c r="N329" s="313">
        <f t="shared" si="15"/>
        <v>3929.6564999999996</v>
      </c>
    </row>
    <row r="330" spans="1:15" ht="15" thickBot="1">
      <c r="A330">
        <f t="shared" si="17"/>
        <v>32</v>
      </c>
      <c r="B330" s="61" t="s">
        <v>126</v>
      </c>
      <c r="C330" s="61"/>
      <c r="D330" s="61"/>
      <c r="E330" s="61"/>
      <c r="F330" s="61"/>
      <c r="G330" s="161">
        <v>4218.5</v>
      </c>
      <c r="H330" s="72">
        <f t="shared" si="16"/>
        <v>5104.3850000000002</v>
      </c>
      <c r="I330" s="61"/>
      <c r="J330" s="61"/>
      <c r="K330" s="61"/>
      <c r="L330" s="61"/>
      <c r="M330" s="61"/>
      <c r="N330" s="313">
        <f t="shared" si="15"/>
        <v>5262.6209349999999</v>
      </c>
    </row>
    <row r="331" spans="1:15" ht="15" thickBot="1">
      <c r="A331">
        <f t="shared" si="17"/>
        <v>33</v>
      </c>
      <c r="B331" s="118" t="s">
        <v>511</v>
      </c>
      <c r="C331" s="61"/>
      <c r="D331" s="61"/>
      <c r="E331" s="61"/>
      <c r="F331" s="61"/>
      <c r="G331" s="161">
        <v>332.02</v>
      </c>
      <c r="H331" s="72">
        <f t="shared" si="16"/>
        <v>401.74419999999998</v>
      </c>
      <c r="I331" s="61"/>
      <c r="J331" s="61"/>
      <c r="K331" s="61"/>
      <c r="L331" s="61"/>
      <c r="M331" s="61"/>
      <c r="N331" s="313">
        <f t="shared" si="15"/>
        <v>414.19827019999997</v>
      </c>
    </row>
    <row r="332" spans="1:15" ht="15" thickBot="1">
      <c r="A332">
        <f t="shared" si="17"/>
        <v>34</v>
      </c>
      <c r="B332" s="118" t="s">
        <v>512</v>
      </c>
      <c r="C332" s="61"/>
      <c r="D332" s="61"/>
      <c r="E332" s="61"/>
      <c r="F332" s="61"/>
      <c r="G332" s="161">
        <v>75</v>
      </c>
      <c r="H332" s="72">
        <f t="shared" si="16"/>
        <v>90.75</v>
      </c>
      <c r="I332" s="61"/>
      <c r="J332" s="61"/>
      <c r="K332" s="61"/>
      <c r="L332" s="61"/>
      <c r="M332" s="61"/>
      <c r="N332" s="313">
        <f t="shared" si="15"/>
        <v>93.563249999999996</v>
      </c>
    </row>
    <row r="333" spans="1:15" ht="15" thickBot="1">
      <c r="A333">
        <f t="shared" si="17"/>
        <v>35</v>
      </c>
      <c r="B333" s="118" t="s">
        <v>513</v>
      </c>
      <c r="C333" s="61"/>
      <c r="D333" s="61"/>
      <c r="E333" s="61"/>
      <c r="F333" s="61"/>
      <c r="G333" s="161" t="s">
        <v>192</v>
      </c>
      <c r="H333" s="72"/>
      <c r="I333" s="61"/>
      <c r="J333" s="61"/>
      <c r="K333" s="61"/>
      <c r="L333" s="61"/>
      <c r="M333" s="61"/>
      <c r="N333" s="313">
        <f t="shared" si="15"/>
        <v>0</v>
      </c>
    </row>
    <row r="334" spans="1:15" ht="15" thickBot="1">
      <c r="A334">
        <f t="shared" si="17"/>
        <v>36</v>
      </c>
      <c r="B334" s="118" t="s">
        <v>514</v>
      </c>
      <c r="C334" s="61"/>
      <c r="D334" s="61"/>
      <c r="E334" s="61"/>
      <c r="F334" s="61"/>
      <c r="G334" s="161">
        <v>297</v>
      </c>
      <c r="H334" s="72">
        <f t="shared" si="16"/>
        <v>359.37</v>
      </c>
      <c r="I334" s="61"/>
      <c r="J334" s="61"/>
      <c r="K334" s="61"/>
      <c r="L334" s="61"/>
      <c r="M334" s="61"/>
      <c r="N334" s="313">
        <f t="shared" si="15"/>
        <v>370.51047</v>
      </c>
      <c r="O334" t="s">
        <v>627</v>
      </c>
    </row>
    <row r="335" spans="1:15" ht="15" thickBot="1">
      <c r="A335">
        <f t="shared" si="17"/>
        <v>37</v>
      </c>
      <c r="B335" s="61" t="s">
        <v>516</v>
      </c>
      <c r="C335" s="61"/>
      <c r="D335" s="61"/>
      <c r="E335" s="61"/>
      <c r="F335" s="61"/>
      <c r="G335" s="161" t="s">
        <v>32</v>
      </c>
      <c r="H335" s="72"/>
      <c r="I335" s="61"/>
      <c r="J335" s="61"/>
      <c r="K335" s="61"/>
      <c r="L335" s="61"/>
      <c r="M335" s="61"/>
      <c r="N335" s="313">
        <f t="shared" si="15"/>
        <v>0</v>
      </c>
    </row>
    <row r="336" spans="1:15" ht="15" thickBot="1">
      <c r="A336">
        <f t="shared" si="17"/>
        <v>38</v>
      </c>
      <c r="B336" s="61" t="s">
        <v>517</v>
      </c>
      <c r="C336" s="61"/>
      <c r="D336" s="61"/>
      <c r="E336" s="61"/>
      <c r="F336" s="61"/>
      <c r="G336" s="161">
        <v>4242.5</v>
      </c>
      <c r="H336" s="72">
        <f t="shared" si="16"/>
        <v>5133.4250000000002</v>
      </c>
      <c r="I336" s="61"/>
      <c r="J336" s="61"/>
      <c r="K336" s="61"/>
      <c r="L336" s="61"/>
      <c r="M336" s="61"/>
      <c r="N336" s="313">
        <f t="shared" si="15"/>
        <v>5292.5611749999998</v>
      </c>
    </row>
    <row r="337" spans="1:16" ht="15" thickBot="1">
      <c r="A337">
        <f t="shared" si="17"/>
        <v>39</v>
      </c>
      <c r="B337" s="61" t="s">
        <v>518</v>
      </c>
      <c r="C337" s="61"/>
      <c r="D337" s="61"/>
      <c r="E337" s="61"/>
      <c r="F337" s="61"/>
      <c r="G337" s="161" t="s">
        <v>32</v>
      </c>
      <c r="H337" s="72"/>
      <c r="I337" s="61"/>
      <c r="J337" s="61"/>
      <c r="K337" s="61"/>
      <c r="L337" s="61"/>
      <c r="M337" s="61"/>
      <c r="N337" s="313">
        <f t="shared" si="15"/>
        <v>0</v>
      </c>
    </row>
    <row r="338" spans="1:16" ht="15" thickBot="1">
      <c r="A338">
        <f t="shared" si="17"/>
        <v>40</v>
      </c>
      <c r="B338" s="61" t="s">
        <v>519</v>
      </c>
      <c r="C338" s="61"/>
      <c r="D338" s="61"/>
      <c r="E338" s="61"/>
      <c r="F338" s="61"/>
      <c r="G338" s="161" t="s">
        <v>32</v>
      </c>
      <c r="H338" s="72"/>
      <c r="I338" s="61"/>
      <c r="J338" s="61"/>
      <c r="K338" s="61"/>
      <c r="L338" s="61"/>
      <c r="M338" s="61"/>
      <c r="N338" s="313">
        <f t="shared" si="15"/>
        <v>0</v>
      </c>
    </row>
    <row r="339" spans="1:16" ht="15" thickBot="1">
      <c r="A339">
        <f t="shared" si="17"/>
        <v>41</v>
      </c>
      <c r="B339" s="61" t="s">
        <v>150</v>
      </c>
      <c r="C339" s="61"/>
      <c r="D339" s="61"/>
      <c r="E339" s="61"/>
      <c r="F339" s="61"/>
      <c r="G339" s="172">
        <v>97.25</v>
      </c>
      <c r="H339" s="72">
        <f t="shared" si="16"/>
        <v>117.6725</v>
      </c>
      <c r="I339" s="61"/>
      <c r="J339" s="61"/>
      <c r="K339" s="61"/>
      <c r="L339" s="61"/>
      <c r="M339" s="61"/>
      <c r="N339" s="313">
        <f t="shared" si="15"/>
        <v>121.32034749999998</v>
      </c>
    </row>
    <row r="340" spans="1:16" ht="15" thickBot="1">
      <c r="A340">
        <f t="shared" si="17"/>
        <v>42</v>
      </c>
      <c r="B340" s="61" t="s">
        <v>152</v>
      </c>
      <c r="C340" s="61"/>
      <c r="D340" s="61"/>
      <c r="E340" s="61"/>
      <c r="F340" s="61"/>
      <c r="G340" s="172">
        <v>126.13</v>
      </c>
      <c r="H340" s="72">
        <f t="shared" si="16"/>
        <v>152.6173</v>
      </c>
      <c r="I340" s="61"/>
      <c r="J340" s="61"/>
      <c r="K340" s="61"/>
      <c r="L340" s="61"/>
      <c r="M340" s="61"/>
      <c r="N340" s="313">
        <f t="shared" si="15"/>
        <v>157.34843629999997</v>
      </c>
    </row>
    <row r="341" spans="1:16" ht="15" thickBot="1">
      <c r="A341">
        <f t="shared" si="17"/>
        <v>43</v>
      </c>
      <c r="B341" s="61" t="s">
        <v>154</v>
      </c>
      <c r="C341" s="61"/>
      <c r="D341" s="61"/>
      <c r="E341" s="61"/>
      <c r="F341" s="61"/>
      <c r="G341" s="172">
        <v>385.3</v>
      </c>
      <c r="H341" s="72">
        <f t="shared" si="16"/>
        <v>466.21300000000002</v>
      </c>
      <c r="I341" s="61"/>
      <c r="J341" s="61"/>
      <c r="K341" s="61"/>
      <c r="L341" s="61"/>
      <c r="M341" s="61"/>
      <c r="N341" s="313">
        <f t="shared" si="15"/>
        <v>480.66560299999998</v>
      </c>
    </row>
    <row r="342" spans="1:16" ht="15" thickBot="1">
      <c r="A342">
        <f t="shared" si="17"/>
        <v>44</v>
      </c>
      <c r="B342" s="61" t="s">
        <v>156</v>
      </c>
      <c r="C342" s="61"/>
      <c r="D342" s="61"/>
      <c r="E342" s="61"/>
      <c r="F342" s="61"/>
      <c r="G342" s="172">
        <v>560.37</v>
      </c>
      <c r="H342" s="72">
        <f t="shared" si="16"/>
        <v>678.04769999999996</v>
      </c>
      <c r="I342" s="61"/>
      <c r="J342" s="61"/>
      <c r="K342" s="61"/>
      <c r="L342" s="61"/>
      <c r="M342" s="61"/>
      <c r="N342" s="313">
        <f t="shared" si="15"/>
        <v>699.06717869999989</v>
      </c>
    </row>
    <row r="343" spans="1:16" ht="15" thickBot="1">
      <c r="A343">
        <f t="shared" si="17"/>
        <v>45</v>
      </c>
      <c r="B343" s="61" t="s">
        <v>157</v>
      </c>
      <c r="C343" s="61"/>
      <c r="D343" s="61"/>
      <c r="E343" s="61"/>
      <c r="F343" s="61"/>
      <c r="G343" s="172">
        <v>769.55</v>
      </c>
      <c r="H343" s="72">
        <f t="shared" si="16"/>
        <v>931.15549999999996</v>
      </c>
      <c r="I343" s="61"/>
      <c r="J343" s="61"/>
      <c r="K343" s="61"/>
      <c r="L343" s="61"/>
      <c r="M343" s="61"/>
      <c r="N343" s="313">
        <f t="shared" si="15"/>
        <v>960.02132049999989</v>
      </c>
    </row>
    <row r="344" spans="1:16" ht="15" thickBot="1">
      <c r="A344">
        <f t="shared" si="17"/>
        <v>46</v>
      </c>
      <c r="B344" s="61" t="s">
        <v>158</v>
      </c>
      <c r="C344" s="61"/>
      <c r="D344" s="61"/>
      <c r="E344" s="61"/>
      <c r="F344" s="61"/>
      <c r="G344" s="161">
        <v>1488</v>
      </c>
      <c r="H344" s="72">
        <f t="shared" si="16"/>
        <v>1800.48</v>
      </c>
      <c r="I344" s="72">
        <f t="shared" ref="I344:J350" si="18">SUM(H344*1.211)</f>
        <v>2180.3812800000001</v>
      </c>
      <c r="J344" s="72">
        <f t="shared" si="18"/>
        <v>2640.4417300800001</v>
      </c>
      <c r="K344" s="61"/>
      <c r="L344" s="61"/>
      <c r="M344" s="61"/>
      <c r="N344" s="313">
        <f t="shared" si="15"/>
        <v>1856.2948799999999</v>
      </c>
      <c r="O344" t="s">
        <v>159</v>
      </c>
    </row>
    <row r="345" spans="1:16" ht="15" thickBot="1">
      <c r="A345">
        <f t="shared" si="17"/>
        <v>47</v>
      </c>
      <c r="B345" s="61" t="s">
        <v>160</v>
      </c>
      <c r="C345" s="61"/>
      <c r="D345" s="61"/>
      <c r="E345" s="61"/>
      <c r="F345" s="61"/>
      <c r="G345" s="161">
        <v>1631.5</v>
      </c>
      <c r="H345" s="72">
        <f t="shared" si="16"/>
        <v>1974.115</v>
      </c>
      <c r="I345" s="72">
        <f t="shared" si="18"/>
        <v>2390.6532650000004</v>
      </c>
      <c r="J345" s="72">
        <f t="shared" si="18"/>
        <v>2895.0811039150008</v>
      </c>
      <c r="K345" s="61"/>
      <c r="L345" s="61"/>
      <c r="M345" s="61"/>
      <c r="N345" s="313">
        <f t="shared" si="15"/>
        <v>2035.3125649999999</v>
      </c>
    </row>
    <row r="346" spans="1:16" ht="15" thickBot="1">
      <c r="A346">
        <f t="shared" si="17"/>
        <v>48</v>
      </c>
      <c r="B346" s="61" t="s">
        <v>161</v>
      </c>
      <c r="C346" s="61"/>
      <c r="D346" s="61"/>
      <c r="E346" s="61"/>
      <c r="F346" s="61"/>
      <c r="G346" s="161">
        <v>1739</v>
      </c>
      <c r="H346" s="72">
        <f t="shared" si="16"/>
        <v>2104.19</v>
      </c>
      <c r="I346" s="72">
        <f t="shared" si="18"/>
        <v>2548.1740900000004</v>
      </c>
      <c r="J346" s="72">
        <f t="shared" si="18"/>
        <v>3085.8388229900006</v>
      </c>
      <c r="K346" s="61"/>
      <c r="L346" s="61"/>
      <c r="M346" s="61"/>
      <c r="N346" s="313">
        <f t="shared" si="15"/>
        <v>2169.4198899999997</v>
      </c>
    </row>
    <row r="347" spans="1:16" ht="15" thickBot="1">
      <c r="A347">
        <f t="shared" si="17"/>
        <v>49</v>
      </c>
      <c r="B347" s="61" t="s">
        <v>162</v>
      </c>
      <c r="C347" s="61"/>
      <c r="D347" s="61"/>
      <c r="E347" s="61"/>
      <c r="F347" s="61"/>
      <c r="G347" s="161">
        <v>1863.33</v>
      </c>
      <c r="H347" s="72">
        <f t="shared" si="16"/>
        <v>2254.6293000000001</v>
      </c>
      <c r="I347" s="72">
        <f t="shared" si="18"/>
        <v>2730.3560823000003</v>
      </c>
      <c r="J347" s="72">
        <f t="shared" si="18"/>
        <v>3306.4612156653006</v>
      </c>
      <c r="K347" s="61"/>
      <c r="L347" s="61"/>
      <c r="M347" s="61"/>
      <c r="N347" s="313">
        <f t="shared" si="15"/>
        <v>2324.5228082999997</v>
      </c>
    </row>
    <row r="348" spans="1:16" ht="15" thickBot="1">
      <c r="A348">
        <v>50</v>
      </c>
      <c r="B348" s="61" t="s">
        <v>167</v>
      </c>
      <c r="C348" s="61"/>
      <c r="D348" s="61"/>
      <c r="E348" s="61"/>
      <c r="F348" s="61"/>
      <c r="G348" s="161">
        <v>1377</v>
      </c>
      <c r="H348" s="72">
        <f t="shared" si="16"/>
        <v>1666.1699999999998</v>
      </c>
      <c r="I348" s="72">
        <f t="shared" si="18"/>
        <v>2017.7318699999998</v>
      </c>
      <c r="J348" s="72">
        <f t="shared" si="18"/>
        <v>2443.4732945699998</v>
      </c>
      <c r="K348" s="61"/>
      <c r="L348" s="61"/>
      <c r="M348" s="61"/>
      <c r="N348" s="313">
        <f t="shared" si="15"/>
        <v>1717.8212699999997</v>
      </c>
    </row>
    <row r="349" spans="1:16" ht="15" thickBot="1">
      <c r="A349">
        <v>51</v>
      </c>
      <c r="B349" s="61" t="s">
        <v>344</v>
      </c>
      <c r="C349" s="61"/>
      <c r="D349" s="61"/>
      <c r="E349" s="61"/>
      <c r="F349" s="61"/>
      <c r="G349" s="161">
        <v>79</v>
      </c>
      <c r="H349" s="72">
        <f t="shared" si="16"/>
        <v>95.59</v>
      </c>
      <c r="I349" s="72">
        <f t="shared" si="18"/>
        <v>115.75949000000001</v>
      </c>
      <c r="J349" s="72">
        <f t="shared" si="18"/>
        <v>140.18474239000003</v>
      </c>
      <c r="K349" s="61"/>
      <c r="L349" s="61"/>
      <c r="M349" s="61"/>
      <c r="N349" s="313">
        <f t="shared" si="15"/>
        <v>98.55328999999999</v>
      </c>
    </row>
    <row r="350" spans="1:16" ht="15" thickBot="1">
      <c r="A350">
        <v>52</v>
      </c>
      <c r="B350" s="61" t="s">
        <v>542</v>
      </c>
      <c r="C350" s="61"/>
      <c r="D350" s="61"/>
      <c r="E350" s="61"/>
      <c r="F350" s="61"/>
      <c r="G350" s="161">
        <v>7450.78</v>
      </c>
      <c r="H350" s="72">
        <f t="shared" si="16"/>
        <v>9015.4437999999991</v>
      </c>
      <c r="I350" s="72">
        <f t="shared" si="18"/>
        <v>10917.7024418</v>
      </c>
      <c r="J350" s="72">
        <f t="shared" si="18"/>
        <v>13221.337657019802</v>
      </c>
      <c r="K350" s="61"/>
      <c r="L350" s="61"/>
      <c r="M350" s="61"/>
      <c r="N350" s="313">
        <f t="shared" si="15"/>
        <v>9294.9225577999987</v>
      </c>
    </row>
    <row r="351" spans="1:16" ht="15" customHeight="1" thickBot="1">
      <c r="A351">
        <v>53</v>
      </c>
      <c r="B351" s="61" t="s">
        <v>523</v>
      </c>
      <c r="C351" s="61"/>
      <c r="D351" s="61"/>
      <c r="E351" s="61"/>
      <c r="F351" s="61"/>
      <c r="G351" s="161" t="s">
        <v>32</v>
      </c>
      <c r="H351" s="72"/>
      <c r="I351" s="61"/>
      <c r="J351" s="61"/>
      <c r="K351" s="61"/>
      <c r="L351" s="61"/>
      <c r="M351" s="61"/>
      <c r="N351" s="313">
        <f t="shared" si="15"/>
        <v>0</v>
      </c>
      <c r="O351" s="340" t="s">
        <v>524</v>
      </c>
      <c r="P351" s="340"/>
    </row>
    <row r="352" spans="1:16" ht="15" thickBot="1">
      <c r="A352">
        <v>54</v>
      </c>
      <c r="B352" s="61" t="s">
        <v>525</v>
      </c>
      <c r="C352" s="61"/>
      <c r="D352" s="61"/>
      <c r="E352" s="61"/>
      <c r="F352" s="61"/>
      <c r="G352" s="161" t="s">
        <v>32</v>
      </c>
      <c r="H352" s="72"/>
      <c r="I352" s="61"/>
      <c r="J352" s="61"/>
      <c r="K352" s="61"/>
      <c r="L352" s="61"/>
      <c r="M352" s="61"/>
      <c r="N352" s="313">
        <f t="shared" si="15"/>
        <v>0</v>
      </c>
      <c r="O352" t="s">
        <v>526</v>
      </c>
    </row>
    <row r="353" spans="1:15" ht="15" thickBot="1">
      <c r="A353">
        <v>55</v>
      </c>
      <c r="B353" s="61" t="s">
        <v>527</v>
      </c>
      <c r="C353" s="61"/>
      <c r="D353" s="61"/>
      <c r="E353" s="61"/>
      <c r="F353" s="61"/>
      <c r="G353" s="161">
        <v>6240</v>
      </c>
      <c r="H353" s="72">
        <f t="shared" si="16"/>
        <v>7550.4</v>
      </c>
      <c r="I353" s="61"/>
      <c r="J353" s="61"/>
      <c r="K353" s="61"/>
      <c r="L353" s="61"/>
      <c r="M353" s="61"/>
      <c r="N353" s="313">
        <f t="shared" si="15"/>
        <v>7784.4623999999994</v>
      </c>
    </row>
    <row r="354" spans="1:15" ht="14.4" customHeight="1" thickBot="1">
      <c r="A354">
        <v>56</v>
      </c>
      <c r="B354" s="61" t="s">
        <v>629</v>
      </c>
      <c r="C354" s="61"/>
      <c r="D354" s="61"/>
      <c r="E354" s="61"/>
      <c r="F354" s="61"/>
      <c r="G354" s="170">
        <v>2450</v>
      </c>
      <c r="H354" s="72">
        <f t="shared" si="16"/>
        <v>2964.5</v>
      </c>
      <c r="I354" s="61"/>
      <c r="J354" s="61"/>
      <c r="K354" s="61"/>
      <c r="L354" s="61"/>
      <c r="M354" s="61"/>
      <c r="N354" s="313">
        <f t="shared" si="15"/>
        <v>3056.3994999999995</v>
      </c>
      <c r="O354" t="s">
        <v>630</v>
      </c>
    </row>
    <row r="355" spans="1:15" ht="15" thickBot="1">
      <c r="A355">
        <v>57</v>
      </c>
      <c r="B355" s="61" t="s">
        <v>629</v>
      </c>
      <c r="C355" s="61"/>
      <c r="D355" s="61"/>
      <c r="E355" s="61"/>
      <c r="F355" s="61"/>
      <c r="G355" s="186">
        <v>3140</v>
      </c>
      <c r="H355" s="72">
        <f t="shared" si="16"/>
        <v>3799.4</v>
      </c>
      <c r="I355" s="61"/>
      <c r="J355" s="61"/>
      <c r="K355" s="61"/>
      <c r="L355" s="61"/>
      <c r="M355" s="61"/>
      <c r="N355" s="313">
        <f t="shared" si="15"/>
        <v>3917.1813999999999</v>
      </c>
      <c r="O355" t="s">
        <v>631</v>
      </c>
    </row>
    <row r="356" spans="1:15">
      <c r="B356" s="61"/>
      <c r="C356" s="61"/>
      <c r="D356" s="61"/>
      <c r="E356" s="61"/>
      <c r="F356" s="61"/>
      <c r="G356" s="187"/>
      <c r="H356" s="61"/>
      <c r="I356" s="61"/>
      <c r="J356" s="61"/>
      <c r="K356" s="61"/>
      <c r="L356" s="61"/>
      <c r="M356" s="61"/>
    </row>
    <row r="357" spans="1:15"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</row>
    <row r="358" spans="1:15"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</row>
    <row r="359" spans="1:15"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</row>
    <row r="360" spans="1:15"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</row>
    <row r="361" spans="1:15"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</row>
    <row r="362" spans="1:15"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</row>
    <row r="363" spans="1:15"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</row>
    <row r="364" spans="1:15"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</row>
    <row r="365" spans="1:15"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</row>
    <row r="366" spans="1:15"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</row>
    <row r="367" spans="1:15"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</row>
    <row r="368" spans="1:15"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</row>
    <row r="369" spans="2:13"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</row>
    <row r="370" spans="2:13"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</row>
    <row r="371" spans="2:13"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</row>
    <row r="372" spans="2:13"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</row>
    <row r="373" spans="2:13"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</row>
    <row r="374" spans="2:13"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</row>
    <row r="375" spans="2:13"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</row>
    <row r="376" spans="2:13"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</row>
    <row r="377" spans="2:13"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</row>
    <row r="378" spans="2:13"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</row>
    <row r="379" spans="2:13"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</row>
    <row r="380" spans="2:13"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</row>
    <row r="381" spans="2:13"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</row>
    <row r="382" spans="2:13"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</row>
    <row r="383" spans="2:13"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</row>
    <row r="384" spans="2:13"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</row>
    <row r="385" spans="2:13"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</row>
    <row r="386" spans="2:13"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</row>
    <row r="387" spans="2:13"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</row>
    <row r="388" spans="2:13"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</row>
    <row r="389" spans="2:13"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</row>
    <row r="390" spans="2:13"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</row>
    <row r="391" spans="2:13"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</row>
    <row r="392" spans="2:13"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</row>
    <row r="393" spans="2:13"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</row>
    <row r="394" spans="2:13"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</row>
    <row r="395" spans="2:13"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</row>
    <row r="396" spans="2:13"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</row>
    <row r="397" spans="2:13"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</row>
  </sheetData>
  <sheetProtection algorithmName="SHA-512" hashValue="tRZTLFaLqu1eh7Wb5fn2T2E6pfjjJad4Cz6d4QZa8Sz3znZ5Vjbw1wXFeRacqeN5gPA3xkKLRMOv4WD9WNwfJg==" saltValue="OuJB+ENwT3l6PeUj5Tiqbw==" spinCount="100000" sheet="1" objects="1" scenarios="1"/>
  <mergeCells count="9">
    <mergeCell ref="P102:W104"/>
    <mergeCell ref="E16:G16"/>
    <mergeCell ref="T19:Y22"/>
    <mergeCell ref="E99:G99"/>
    <mergeCell ref="E297:G297"/>
    <mergeCell ref="H184:M184"/>
    <mergeCell ref="H186:M186"/>
    <mergeCell ref="E187:G187"/>
    <mergeCell ref="B273:F273"/>
  </mergeCells>
  <pageMargins left="0.7" right="0.7" top="0.75" bottom="0.75" header="0.3" footer="0.3"/>
  <pageSetup orientation="portrait" horizontalDpi="4294967293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CA623-77AE-40CF-9064-09AE3D4FCD20}">
  <dimension ref="A4:Y215"/>
  <sheetViews>
    <sheetView topLeftCell="C1" workbookViewId="0">
      <selection activeCell="F26" sqref="F26"/>
    </sheetView>
  </sheetViews>
  <sheetFormatPr defaultRowHeight="14.4"/>
  <cols>
    <col min="2" max="2" width="10.5546875" customWidth="1"/>
    <col min="3" max="3" width="19.21875" bestFit="1" customWidth="1"/>
    <col min="5" max="6" width="10.77734375" customWidth="1"/>
    <col min="7" max="7" width="46.6640625" bestFit="1" customWidth="1"/>
    <col min="12" max="12" width="35.6640625" bestFit="1" customWidth="1"/>
  </cols>
  <sheetData>
    <row r="4" spans="2:16">
      <c r="D4" s="1" t="s">
        <v>812</v>
      </c>
      <c r="G4" s="279" t="s">
        <v>813</v>
      </c>
    </row>
    <row r="5" spans="2:16">
      <c r="D5" s="1"/>
      <c r="G5" s="7"/>
    </row>
    <row r="6" spans="2:16">
      <c r="D6" s="1" t="s">
        <v>1</v>
      </c>
      <c r="G6" s="279" t="s">
        <v>529</v>
      </c>
    </row>
    <row r="8" spans="2:16">
      <c r="F8" s="48"/>
      <c r="G8" s="20" t="s">
        <v>968</v>
      </c>
      <c r="H8" s="20"/>
      <c r="I8" s="20"/>
      <c r="J8" s="48"/>
      <c r="K8" s="48"/>
    </row>
    <row r="9" spans="2:16">
      <c r="B9" s="1" t="s">
        <v>814</v>
      </c>
    </row>
    <row r="10" spans="2:16">
      <c r="B10" s="1" t="s">
        <v>0</v>
      </c>
      <c r="H10" s="1"/>
      <c r="L10" s="1" t="s">
        <v>761</v>
      </c>
    </row>
    <row r="11" spans="2:16">
      <c r="B11" s="1"/>
      <c r="H11" s="1"/>
    </row>
    <row r="12" spans="2:16" ht="15" thickBot="1">
      <c r="B12" s="1" t="s">
        <v>815</v>
      </c>
      <c r="C12" s="1" t="s">
        <v>816</v>
      </c>
      <c r="D12" s="2" t="s">
        <v>9</v>
      </c>
      <c r="E12" s="2"/>
      <c r="G12" t="s">
        <v>817</v>
      </c>
      <c r="I12" s="1"/>
      <c r="K12" s="1" t="s">
        <v>818</v>
      </c>
      <c r="L12" s="1"/>
      <c r="M12" s="9" t="s">
        <v>9</v>
      </c>
      <c r="N12" s="37"/>
      <c r="O12" t="s">
        <v>817</v>
      </c>
    </row>
    <row r="13" spans="2:16">
      <c r="B13" s="1"/>
      <c r="H13" s="1"/>
      <c r="I13" s="1"/>
      <c r="P13" s="1"/>
    </row>
    <row r="14" spans="2:16" ht="15" thickBot="1">
      <c r="B14" s="1" t="s">
        <v>815</v>
      </c>
      <c r="C14" s="1" t="s">
        <v>816</v>
      </c>
      <c r="D14" s="269">
        <v>170070</v>
      </c>
      <c r="E14" s="2"/>
      <c r="F14" s="354">
        <f>D14+6788</f>
        <v>176858</v>
      </c>
      <c r="G14" t="s">
        <v>819</v>
      </c>
      <c r="I14" s="1"/>
      <c r="K14" s="1" t="s">
        <v>818</v>
      </c>
      <c r="L14" s="1"/>
      <c r="M14" s="270">
        <v>103250</v>
      </c>
      <c r="N14" s="354">
        <f>M14+6788</f>
        <v>110038</v>
      </c>
      <c r="O14" t="s">
        <v>819</v>
      </c>
    </row>
    <row r="15" spans="2:16">
      <c r="B15" s="1"/>
      <c r="C15" s="1"/>
      <c r="F15" s="1"/>
      <c r="I15" s="1"/>
      <c r="N15" s="1"/>
    </row>
    <row r="16" spans="2:16" ht="15" thickBot="1">
      <c r="B16" s="1" t="s">
        <v>815</v>
      </c>
      <c r="C16" s="1" t="s">
        <v>816</v>
      </c>
      <c r="D16" s="269">
        <v>173100</v>
      </c>
      <c r="E16" s="2"/>
      <c r="F16" s="354">
        <f>D16+5708</f>
        <v>178808</v>
      </c>
      <c r="G16" t="s">
        <v>820</v>
      </c>
      <c r="I16" s="1"/>
      <c r="K16" s="1" t="s">
        <v>818</v>
      </c>
      <c r="L16" s="1"/>
      <c r="M16" s="270">
        <v>106230</v>
      </c>
      <c r="N16" s="354">
        <f>M16+5708</f>
        <v>111938</v>
      </c>
      <c r="O16" t="s">
        <v>820</v>
      </c>
    </row>
    <row r="17" spans="2:23">
      <c r="F17" s="1"/>
      <c r="N17" s="1"/>
    </row>
    <row r="18" spans="2:23" ht="15" thickBot="1">
      <c r="B18" s="1" t="s">
        <v>815</v>
      </c>
      <c r="C18" s="1" t="s">
        <v>821</v>
      </c>
      <c r="D18" s="269">
        <v>182355</v>
      </c>
      <c r="E18" s="2"/>
      <c r="F18" s="354">
        <f>D18+5020</f>
        <v>187375</v>
      </c>
      <c r="G18" t="s">
        <v>822</v>
      </c>
      <c r="I18" s="1"/>
      <c r="K18" s="1" t="s">
        <v>823</v>
      </c>
      <c r="L18" s="1"/>
      <c r="M18" s="270">
        <v>116948</v>
      </c>
      <c r="N18" s="354">
        <f>M18+5020</f>
        <v>121968</v>
      </c>
      <c r="O18" t="s">
        <v>822</v>
      </c>
    </row>
    <row r="20" spans="2:23">
      <c r="B20" s="280"/>
      <c r="C20" s="280"/>
    </row>
    <row r="21" spans="2:23">
      <c r="C21" s="1"/>
      <c r="D21" s="1" t="s">
        <v>885</v>
      </c>
      <c r="E21" s="1"/>
      <c r="F21" s="1"/>
      <c r="G21" s="1"/>
    </row>
    <row r="23" spans="2:23">
      <c r="C23" s="3" t="s">
        <v>239</v>
      </c>
      <c r="G23" s="380" t="s">
        <v>824</v>
      </c>
      <c r="H23" s="381"/>
      <c r="I23" s="381"/>
    </row>
    <row r="24" spans="2:23">
      <c r="C24" s="4"/>
    </row>
    <row r="25" spans="2:23" ht="15" thickBot="1">
      <c r="B25">
        <v>1</v>
      </c>
      <c r="C25" s="4" t="s">
        <v>825</v>
      </c>
      <c r="I25" s="271">
        <v>-9055</v>
      </c>
      <c r="J25" s="49" t="s">
        <v>826</v>
      </c>
    </row>
    <row r="26" spans="2:23" ht="15" thickBot="1">
      <c r="B26">
        <v>2</v>
      </c>
      <c r="C26" s="4" t="s">
        <v>486</v>
      </c>
      <c r="I26" s="209" t="s">
        <v>827</v>
      </c>
      <c r="J26" t="s">
        <v>487</v>
      </c>
    </row>
    <row r="27" spans="2:23" ht="15" thickBot="1">
      <c r="B27">
        <v>3</v>
      </c>
      <c r="C27" s="4" t="s">
        <v>488</v>
      </c>
      <c r="I27" s="272" t="s">
        <v>828</v>
      </c>
    </row>
    <row r="28" spans="2:23" ht="15" thickBot="1">
      <c r="B28">
        <v>4</v>
      </c>
      <c r="C28" t="s">
        <v>829</v>
      </c>
      <c r="I28" s="272">
        <v>4790</v>
      </c>
      <c r="P28">
        <v>51</v>
      </c>
      <c r="Q28" t="s">
        <v>830</v>
      </c>
      <c r="W28" s="273">
        <v>11600</v>
      </c>
    </row>
    <row r="29" spans="2:23" ht="15" thickBot="1">
      <c r="B29">
        <v>5</v>
      </c>
      <c r="C29" s="4" t="s">
        <v>537</v>
      </c>
      <c r="I29" s="209" t="s">
        <v>827</v>
      </c>
      <c r="P29">
        <v>52</v>
      </c>
      <c r="Q29" t="s">
        <v>831</v>
      </c>
      <c r="W29" t="s">
        <v>209</v>
      </c>
    </row>
    <row r="30" spans="2:23" ht="15" thickBot="1">
      <c r="B30">
        <v>3</v>
      </c>
      <c r="C30" s="4" t="s">
        <v>538</v>
      </c>
      <c r="H30" t="s">
        <v>832</v>
      </c>
      <c r="I30" s="272" t="s">
        <v>9</v>
      </c>
      <c r="P30">
        <v>58</v>
      </c>
      <c r="Q30" t="s">
        <v>833</v>
      </c>
      <c r="R30" s="1"/>
      <c r="S30" s="1"/>
      <c r="W30" s="273" t="s">
        <v>834</v>
      </c>
    </row>
    <row r="31" spans="2:23" ht="15" thickBot="1">
      <c r="B31">
        <v>4</v>
      </c>
      <c r="C31" s="4" t="s">
        <v>500</v>
      </c>
      <c r="I31" s="272" t="s">
        <v>9</v>
      </c>
      <c r="J31" s="274"/>
      <c r="P31">
        <v>59</v>
      </c>
      <c r="Q31" t="s">
        <v>835</v>
      </c>
      <c r="R31" s="1"/>
      <c r="S31" s="1"/>
      <c r="W31" s="273">
        <v>2600</v>
      </c>
    </row>
    <row r="32" spans="2:23" ht="15" thickBot="1">
      <c r="B32">
        <v>5</v>
      </c>
      <c r="C32" s="4" t="s">
        <v>501</v>
      </c>
      <c r="I32" s="272">
        <v>675</v>
      </c>
      <c r="P32">
        <v>60</v>
      </c>
      <c r="Q32" t="s">
        <v>778</v>
      </c>
      <c r="R32" s="1"/>
      <c r="S32" s="1"/>
      <c r="W32" s="273">
        <v>5000</v>
      </c>
    </row>
    <row r="33" spans="2:24" ht="15" thickBot="1">
      <c r="B33">
        <v>6</v>
      </c>
      <c r="C33" s="4" t="s">
        <v>502</v>
      </c>
      <c r="H33" t="s">
        <v>832</v>
      </c>
      <c r="I33" s="272">
        <v>12240</v>
      </c>
      <c r="P33">
        <v>61</v>
      </c>
      <c r="Q33" t="s">
        <v>767</v>
      </c>
      <c r="R33" s="1"/>
      <c r="S33" s="1"/>
      <c r="W33" s="273">
        <v>250</v>
      </c>
    </row>
    <row r="34" spans="2:24" ht="15" thickBot="1">
      <c r="B34">
        <v>10</v>
      </c>
      <c r="C34" s="4" t="s">
        <v>503</v>
      </c>
      <c r="I34" s="272">
        <v>979</v>
      </c>
      <c r="J34" t="s">
        <v>836</v>
      </c>
      <c r="P34">
        <v>62</v>
      </c>
      <c r="Q34" t="s">
        <v>769</v>
      </c>
      <c r="R34" s="1"/>
      <c r="S34" s="1"/>
      <c r="W34" s="273">
        <v>1900</v>
      </c>
    </row>
    <row r="35" spans="2:24" ht="15" thickBot="1">
      <c r="B35">
        <v>11</v>
      </c>
      <c r="C35" s="4" t="s">
        <v>504</v>
      </c>
      <c r="I35" s="272" t="s">
        <v>9</v>
      </c>
      <c r="P35">
        <v>63</v>
      </c>
      <c r="Q35" t="s">
        <v>771</v>
      </c>
      <c r="R35" s="1"/>
      <c r="S35" s="1"/>
      <c r="W35" s="273">
        <v>2900</v>
      </c>
    </row>
    <row r="36" spans="2:24" ht="15" thickBot="1">
      <c r="B36">
        <v>12</v>
      </c>
      <c r="C36" s="4" t="s">
        <v>34</v>
      </c>
      <c r="I36" s="272">
        <v>1153</v>
      </c>
      <c r="J36" t="s">
        <v>837</v>
      </c>
      <c r="P36">
        <v>64</v>
      </c>
      <c r="Q36" t="s">
        <v>772</v>
      </c>
      <c r="R36" s="1"/>
      <c r="S36" s="1"/>
      <c r="W36" s="273">
        <v>4250</v>
      </c>
      <c r="X36" t="s">
        <v>838</v>
      </c>
    </row>
    <row r="37" spans="2:24" ht="15" thickBot="1">
      <c r="B37">
        <v>13</v>
      </c>
      <c r="C37" s="4" t="s">
        <v>37</v>
      </c>
      <c r="I37" s="272">
        <v>1675</v>
      </c>
      <c r="J37" s="4"/>
      <c r="K37" s="4"/>
      <c r="P37">
        <f t="shared" ref="P37:P55" si="0">P36+1</f>
        <v>65</v>
      </c>
      <c r="Q37" t="s">
        <v>775</v>
      </c>
      <c r="S37" s="4"/>
      <c r="W37" s="273" t="s">
        <v>827</v>
      </c>
    </row>
    <row r="38" spans="2:24" ht="15" thickBot="1">
      <c r="B38">
        <v>14</v>
      </c>
      <c r="C38" s="4" t="s">
        <v>39</v>
      </c>
      <c r="I38" s="272">
        <v>1830</v>
      </c>
      <c r="J38" s="4"/>
      <c r="K38" s="4"/>
      <c r="P38">
        <f t="shared" si="0"/>
        <v>66</v>
      </c>
      <c r="Q38" t="s">
        <v>777</v>
      </c>
      <c r="S38" s="4"/>
      <c r="W38" s="273">
        <v>13500</v>
      </c>
    </row>
    <row r="39" spans="2:24" ht="15" thickBot="1">
      <c r="B39">
        <v>15</v>
      </c>
      <c r="C39" s="4" t="s">
        <v>766</v>
      </c>
      <c r="I39" s="272">
        <v>1626</v>
      </c>
      <c r="J39" s="4"/>
      <c r="K39" s="4"/>
      <c r="P39">
        <f t="shared" si="0"/>
        <v>67</v>
      </c>
      <c r="Q39" t="s">
        <v>778</v>
      </c>
      <c r="S39" s="4"/>
      <c r="W39" s="273">
        <v>5000</v>
      </c>
      <c r="X39" t="s">
        <v>839</v>
      </c>
    </row>
    <row r="40" spans="2:24" ht="15" thickBot="1">
      <c r="B40">
        <v>16</v>
      </c>
      <c r="C40" s="4" t="s">
        <v>768</v>
      </c>
      <c r="I40" s="272">
        <v>975</v>
      </c>
      <c r="J40" t="s">
        <v>840</v>
      </c>
      <c r="P40">
        <f t="shared" si="0"/>
        <v>68</v>
      </c>
      <c r="Q40" s="7" t="s">
        <v>841</v>
      </c>
      <c r="R40" s="41"/>
      <c r="S40" s="41"/>
      <c r="W40" s="273" t="s">
        <v>9</v>
      </c>
    </row>
    <row r="41" spans="2:24" ht="15" thickBot="1">
      <c r="B41">
        <v>17</v>
      </c>
      <c r="C41" s="4" t="s">
        <v>505</v>
      </c>
      <c r="I41" s="272" t="s">
        <v>209</v>
      </c>
      <c r="P41">
        <f t="shared" si="0"/>
        <v>69</v>
      </c>
      <c r="Q41" s="275" t="s">
        <v>842</v>
      </c>
      <c r="R41" s="1"/>
      <c r="S41" s="1"/>
      <c r="W41" s="273" t="s">
        <v>843</v>
      </c>
    </row>
    <row r="42" spans="2:24" ht="15" thickBot="1">
      <c r="B42">
        <v>18</v>
      </c>
      <c r="C42" s="4" t="s">
        <v>506</v>
      </c>
      <c r="I42" s="272">
        <v>75</v>
      </c>
      <c r="P42">
        <f t="shared" si="0"/>
        <v>70</v>
      </c>
      <c r="Q42" s="275" t="s">
        <v>844</v>
      </c>
      <c r="W42" s="273">
        <v>4000</v>
      </c>
    </row>
    <row r="43" spans="2:24" ht="15" thickBot="1">
      <c r="B43">
        <v>19</v>
      </c>
      <c r="C43" s="4" t="s">
        <v>507</v>
      </c>
      <c r="I43" s="272">
        <v>36</v>
      </c>
      <c r="P43">
        <f t="shared" si="0"/>
        <v>71</v>
      </c>
      <c r="Q43" s="275" t="s">
        <v>845</v>
      </c>
      <c r="W43" s="273" t="s">
        <v>209</v>
      </c>
    </row>
    <row r="44" spans="2:24" ht="15" thickBot="1">
      <c r="B44">
        <v>20</v>
      </c>
      <c r="C44" t="s">
        <v>70</v>
      </c>
      <c r="I44" s="272">
        <v>65</v>
      </c>
      <c r="P44">
        <f t="shared" si="0"/>
        <v>72</v>
      </c>
      <c r="Q44" s="275" t="s">
        <v>846</v>
      </c>
      <c r="W44" s="273">
        <v>695</v>
      </c>
    </row>
    <row r="45" spans="2:24" ht="15" thickBot="1">
      <c r="B45">
        <v>21</v>
      </c>
      <c r="C45" t="s">
        <v>72</v>
      </c>
      <c r="I45" s="272">
        <v>12</v>
      </c>
      <c r="P45">
        <f t="shared" si="0"/>
        <v>73</v>
      </c>
      <c r="Q45" s="275" t="s">
        <v>847</v>
      </c>
      <c r="R45" s="40"/>
      <c r="W45" s="273" t="s">
        <v>9</v>
      </c>
    </row>
    <row r="46" spans="2:24" ht="15" thickBot="1">
      <c r="B46">
        <v>22</v>
      </c>
      <c r="C46" t="s">
        <v>74</v>
      </c>
      <c r="I46" s="272">
        <v>20</v>
      </c>
      <c r="P46">
        <f t="shared" si="0"/>
        <v>74</v>
      </c>
      <c r="Q46" s="275" t="s">
        <v>848</v>
      </c>
      <c r="R46" s="40"/>
      <c r="W46" s="273" t="s">
        <v>9</v>
      </c>
    </row>
    <row r="47" spans="2:24" ht="15" thickBot="1">
      <c r="B47">
        <v>23</v>
      </c>
      <c r="C47" t="s">
        <v>76</v>
      </c>
      <c r="I47" s="272" t="s">
        <v>32</v>
      </c>
      <c r="P47">
        <f t="shared" si="0"/>
        <v>75</v>
      </c>
      <c r="Q47" s="275" t="s">
        <v>849</v>
      </c>
      <c r="R47" s="40"/>
      <c r="W47" s="273" t="s">
        <v>9</v>
      </c>
    </row>
    <row r="48" spans="2:24" ht="15" thickBot="1">
      <c r="B48">
        <v>24</v>
      </c>
      <c r="C48" t="s">
        <v>510</v>
      </c>
      <c r="I48" s="272">
        <v>1816</v>
      </c>
      <c r="J48" t="s">
        <v>850</v>
      </c>
      <c r="P48">
        <f t="shared" si="0"/>
        <v>76</v>
      </c>
      <c r="Q48" s="275" t="s">
        <v>851</v>
      </c>
      <c r="R48" s="40"/>
      <c r="W48" s="273" t="s">
        <v>9</v>
      </c>
    </row>
    <row r="49" spans="2:24" ht="15" thickBot="1">
      <c r="B49">
        <v>25</v>
      </c>
      <c r="C49" t="s">
        <v>91</v>
      </c>
      <c r="I49" s="272" t="s">
        <v>208</v>
      </c>
      <c r="J49" t="s">
        <v>850</v>
      </c>
      <c r="P49">
        <f t="shared" si="0"/>
        <v>77</v>
      </c>
      <c r="Q49" s="275" t="s">
        <v>852</v>
      </c>
      <c r="R49" s="40"/>
      <c r="W49" s="273">
        <v>875</v>
      </c>
    </row>
    <row r="50" spans="2:24" ht="15" thickBot="1">
      <c r="B50">
        <v>26</v>
      </c>
      <c r="C50" t="s">
        <v>93</v>
      </c>
      <c r="I50" s="272" t="s">
        <v>32</v>
      </c>
      <c r="P50">
        <f t="shared" si="0"/>
        <v>78</v>
      </c>
      <c r="Q50" s="275" t="s">
        <v>853</v>
      </c>
      <c r="R50" s="40"/>
      <c r="W50" s="273">
        <v>350</v>
      </c>
      <c r="X50" t="s">
        <v>854</v>
      </c>
    </row>
    <row r="51" spans="2:24" ht="15" thickBot="1">
      <c r="B51">
        <v>27</v>
      </c>
      <c r="C51" t="s">
        <v>114</v>
      </c>
      <c r="I51" s="272">
        <v>4270</v>
      </c>
      <c r="P51">
        <f t="shared" si="0"/>
        <v>79</v>
      </c>
      <c r="Q51" s="275" t="s">
        <v>855</v>
      </c>
      <c r="R51" s="40"/>
      <c r="W51" s="273">
        <v>250</v>
      </c>
    </row>
    <row r="52" spans="2:24" ht="15" thickBot="1">
      <c r="B52">
        <v>28</v>
      </c>
      <c r="C52" t="s">
        <v>116</v>
      </c>
      <c r="I52" s="272">
        <v>5777</v>
      </c>
      <c r="P52">
        <f t="shared" si="0"/>
        <v>80</v>
      </c>
      <c r="Q52" s="275" t="s">
        <v>856</v>
      </c>
      <c r="R52" s="40"/>
      <c r="W52" s="273">
        <v>190</v>
      </c>
    </row>
    <row r="53" spans="2:24" ht="15" thickBot="1">
      <c r="B53">
        <v>29</v>
      </c>
      <c r="C53" t="s">
        <v>120</v>
      </c>
      <c r="I53" s="272" t="s">
        <v>857</v>
      </c>
      <c r="P53">
        <f t="shared" si="0"/>
        <v>81</v>
      </c>
      <c r="Q53" s="275" t="s">
        <v>858</v>
      </c>
      <c r="R53" s="40"/>
      <c r="W53" s="273">
        <v>55</v>
      </c>
    </row>
    <row r="54" spans="2:24" ht="15" thickBot="1">
      <c r="B54">
        <v>30</v>
      </c>
      <c r="C54" t="s">
        <v>122</v>
      </c>
      <c r="I54" s="272">
        <v>3146</v>
      </c>
      <c r="P54">
        <f t="shared" si="0"/>
        <v>82</v>
      </c>
      <c r="Q54" s="275" t="s">
        <v>859</v>
      </c>
      <c r="R54" s="40"/>
      <c r="W54" s="273" t="s">
        <v>32</v>
      </c>
      <c r="X54" t="s">
        <v>860</v>
      </c>
    </row>
    <row r="55" spans="2:24" ht="15" thickBot="1">
      <c r="B55">
        <v>31</v>
      </c>
      <c r="C55" t="s">
        <v>124</v>
      </c>
      <c r="I55" s="272">
        <v>3865</v>
      </c>
      <c r="P55">
        <f t="shared" si="0"/>
        <v>83</v>
      </c>
      <c r="Q55" t="s">
        <v>861</v>
      </c>
      <c r="R55" s="40"/>
      <c r="W55" s="276">
        <v>14821</v>
      </c>
      <c r="X55" t="s">
        <v>862</v>
      </c>
    </row>
    <row r="56" spans="2:24" ht="15" thickBot="1">
      <c r="B56">
        <v>32</v>
      </c>
      <c r="C56" t="s">
        <v>126</v>
      </c>
      <c r="I56" s="272">
        <v>4950</v>
      </c>
      <c r="P56">
        <v>84</v>
      </c>
      <c r="Q56" s="275" t="s">
        <v>863</v>
      </c>
      <c r="R56" s="40"/>
      <c r="W56" s="273" t="s">
        <v>32</v>
      </c>
      <c r="X56" t="s">
        <v>864</v>
      </c>
    </row>
    <row r="57" spans="2:24" ht="15" thickBot="1">
      <c r="B57">
        <v>33</v>
      </c>
      <c r="C57" s="4" t="s">
        <v>511</v>
      </c>
      <c r="I57" s="272">
        <v>1110</v>
      </c>
      <c r="P57">
        <v>85</v>
      </c>
      <c r="Q57" s="275" t="s">
        <v>865</v>
      </c>
      <c r="W57" s="273">
        <v>6600</v>
      </c>
      <c r="X57" t="s">
        <v>866</v>
      </c>
    </row>
    <row r="58" spans="2:24" ht="15" thickBot="1">
      <c r="B58">
        <v>34</v>
      </c>
      <c r="C58" s="4" t="s">
        <v>302</v>
      </c>
      <c r="I58" s="272"/>
      <c r="J58" t="s">
        <v>867</v>
      </c>
      <c r="P58">
        <v>86</v>
      </c>
      <c r="Q58" s="275" t="s">
        <v>868</v>
      </c>
      <c r="W58" s="273">
        <v>4900</v>
      </c>
    </row>
    <row r="59" spans="2:24" ht="15" thickBot="1">
      <c r="B59">
        <v>35</v>
      </c>
      <c r="C59" s="4" t="s">
        <v>513</v>
      </c>
      <c r="I59" s="272" t="s">
        <v>32</v>
      </c>
      <c r="P59">
        <v>87</v>
      </c>
      <c r="Q59" s="275" t="s">
        <v>869</v>
      </c>
      <c r="W59" s="273" t="s">
        <v>9</v>
      </c>
      <c r="X59" t="s">
        <v>870</v>
      </c>
    </row>
    <row r="60" spans="2:24" ht="15" thickBot="1">
      <c r="B60">
        <v>36</v>
      </c>
      <c r="C60" s="4" t="s">
        <v>514</v>
      </c>
      <c r="I60" s="272">
        <v>425</v>
      </c>
      <c r="J60" t="s">
        <v>871</v>
      </c>
      <c r="P60">
        <v>88</v>
      </c>
      <c r="Q60" s="275" t="s">
        <v>872</v>
      </c>
      <c r="W60" s="273" t="s">
        <v>209</v>
      </c>
      <c r="X60" t="s">
        <v>873</v>
      </c>
    </row>
    <row r="61" spans="2:24" ht="15" thickBot="1">
      <c r="B61">
        <v>37</v>
      </c>
      <c r="C61" t="s">
        <v>150</v>
      </c>
      <c r="I61" s="272">
        <v>600</v>
      </c>
      <c r="J61" t="s">
        <v>874</v>
      </c>
      <c r="P61">
        <v>89</v>
      </c>
      <c r="Q61" s="275" t="s">
        <v>875</v>
      </c>
      <c r="W61" t="s">
        <v>32</v>
      </c>
      <c r="X61" t="s">
        <v>876</v>
      </c>
    </row>
    <row r="62" spans="2:24" ht="15" thickBot="1">
      <c r="B62">
        <v>38</v>
      </c>
      <c r="C62" t="s">
        <v>152</v>
      </c>
      <c r="I62" s="272">
        <v>800</v>
      </c>
      <c r="P62">
        <v>90</v>
      </c>
      <c r="Q62" s="275" t="s">
        <v>877</v>
      </c>
      <c r="W62" s="273" t="s">
        <v>32</v>
      </c>
      <c r="X62" t="s">
        <v>878</v>
      </c>
    </row>
    <row r="63" spans="2:24" ht="15" thickBot="1">
      <c r="B63">
        <v>39</v>
      </c>
      <c r="C63" t="s">
        <v>154</v>
      </c>
      <c r="I63" s="272">
        <v>1200</v>
      </c>
      <c r="P63">
        <v>90</v>
      </c>
      <c r="Q63" s="275" t="s">
        <v>879</v>
      </c>
      <c r="W63" s="273" t="s">
        <v>32</v>
      </c>
      <c r="X63" t="s">
        <v>878</v>
      </c>
    </row>
    <row r="64" spans="2:24" ht="15" thickBot="1">
      <c r="B64">
        <v>39</v>
      </c>
      <c r="C64" t="s">
        <v>156</v>
      </c>
      <c r="I64" s="272">
        <v>800</v>
      </c>
    </row>
    <row r="65" spans="2:10" ht="15" thickBot="1">
      <c r="B65">
        <v>40</v>
      </c>
      <c r="C65" t="s">
        <v>157</v>
      </c>
      <c r="I65" s="272">
        <v>1200</v>
      </c>
    </row>
    <row r="66" spans="2:10" ht="15" thickBot="1">
      <c r="B66">
        <v>41</v>
      </c>
      <c r="C66" t="s">
        <v>158</v>
      </c>
      <c r="I66" s="272">
        <v>2002</v>
      </c>
    </row>
    <row r="67" spans="2:10" ht="15" thickBot="1">
      <c r="B67">
        <v>42</v>
      </c>
      <c r="C67" t="s">
        <v>160</v>
      </c>
      <c r="I67" s="272">
        <v>2460</v>
      </c>
    </row>
    <row r="68" spans="2:10" ht="15" thickBot="1">
      <c r="B68">
        <v>43</v>
      </c>
      <c r="C68" t="s">
        <v>161</v>
      </c>
      <c r="I68" s="272">
        <v>2606</v>
      </c>
      <c r="J68" t="s">
        <v>159</v>
      </c>
    </row>
    <row r="69" spans="2:10" ht="15" thickBot="1">
      <c r="B69">
        <v>44</v>
      </c>
      <c r="C69" t="s">
        <v>162</v>
      </c>
      <c r="I69" s="272">
        <v>2850</v>
      </c>
    </row>
    <row r="70" spans="2:10">
      <c r="B70">
        <v>45</v>
      </c>
      <c r="C70" t="s">
        <v>167</v>
      </c>
      <c r="I70" s="209" t="s">
        <v>209</v>
      </c>
    </row>
    <row r="71" spans="2:10" ht="15" thickBot="1">
      <c r="B71">
        <v>46</v>
      </c>
      <c r="C71" t="s">
        <v>344</v>
      </c>
      <c r="I71" s="271">
        <v>52</v>
      </c>
    </row>
    <row r="72" spans="2:10" ht="15" thickBot="1">
      <c r="B72">
        <v>47</v>
      </c>
      <c r="C72" t="s">
        <v>302</v>
      </c>
      <c r="I72" s="272" t="s">
        <v>9</v>
      </c>
    </row>
    <row r="73" spans="2:10" ht="15" thickBot="1">
      <c r="B73">
        <v>48</v>
      </c>
      <c r="C73" t="s">
        <v>525</v>
      </c>
      <c r="I73" s="272" t="s">
        <v>9</v>
      </c>
    </row>
    <row r="74" spans="2:10" ht="15" thickBot="1">
      <c r="B74">
        <v>49</v>
      </c>
      <c r="C74" t="s">
        <v>527</v>
      </c>
      <c r="I74" s="272" t="s">
        <v>9</v>
      </c>
    </row>
    <row r="75" spans="2:10" ht="15" thickBot="1">
      <c r="B75">
        <v>50</v>
      </c>
      <c r="C75" t="s">
        <v>543</v>
      </c>
      <c r="I75" s="272" t="s">
        <v>209</v>
      </c>
    </row>
    <row r="80" spans="2:10">
      <c r="G80" s="1" t="s">
        <v>969</v>
      </c>
    </row>
    <row r="81" spans="2:10">
      <c r="B81" s="1" t="s">
        <v>814</v>
      </c>
      <c r="G81" s="1" t="s">
        <v>886</v>
      </c>
      <c r="H81" s="280"/>
    </row>
    <row r="82" spans="2:10">
      <c r="B82" s="1" t="s">
        <v>0</v>
      </c>
    </row>
    <row r="84" spans="2:10" ht="15" thickBot="1">
      <c r="B84" s="1" t="s">
        <v>815</v>
      </c>
      <c r="C84" s="1" t="s">
        <v>818</v>
      </c>
      <c r="D84" s="1"/>
      <c r="E84" s="9" t="s">
        <v>32</v>
      </c>
      <c r="F84" s="37"/>
      <c r="G84" t="s">
        <v>817</v>
      </c>
    </row>
    <row r="85" spans="2:10">
      <c r="B85" s="1"/>
      <c r="E85" s="38"/>
      <c r="F85" s="38"/>
      <c r="H85" s="1"/>
    </row>
    <row r="86" spans="2:10" ht="15" thickBot="1">
      <c r="B86" s="1" t="s">
        <v>815</v>
      </c>
      <c r="C86" s="1" t="s">
        <v>818</v>
      </c>
      <c r="D86" s="1"/>
      <c r="E86" s="270">
        <v>94494</v>
      </c>
      <c r="F86" s="353"/>
      <c r="G86" t="s">
        <v>819</v>
      </c>
    </row>
    <row r="87" spans="2:10">
      <c r="B87" s="1"/>
      <c r="C87" s="1"/>
      <c r="E87" s="38"/>
      <c r="F87" s="38"/>
    </row>
    <row r="88" spans="2:10" ht="15" thickBot="1">
      <c r="B88" s="1" t="s">
        <v>815</v>
      </c>
      <c r="C88" s="1" t="s">
        <v>818</v>
      </c>
      <c r="D88" s="1"/>
      <c r="E88" s="270">
        <v>97477</v>
      </c>
      <c r="F88" s="353"/>
      <c r="G88" t="s">
        <v>820</v>
      </c>
    </row>
    <row r="89" spans="2:10">
      <c r="E89" s="38"/>
      <c r="F89" s="38"/>
    </row>
    <row r="90" spans="2:10" ht="15" thickBot="1">
      <c r="B90" s="1" t="s">
        <v>815</v>
      </c>
      <c r="C90" s="1" t="s">
        <v>823</v>
      </c>
      <c r="D90" s="1"/>
      <c r="E90" s="270">
        <v>99092</v>
      </c>
      <c r="F90" s="353"/>
      <c r="G90" t="s">
        <v>822</v>
      </c>
    </row>
    <row r="92" spans="2:10">
      <c r="C92" s="3" t="s">
        <v>239</v>
      </c>
      <c r="G92" s="380" t="s">
        <v>824</v>
      </c>
      <c r="H92" s="381"/>
      <c r="I92" s="381"/>
    </row>
    <row r="93" spans="2:10">
      <c r="C93" s="4"/>
    </row>
    <row r="94" spans="2:10" ht="15" thickBot="1">
      <c r="B94">
        <v>1</v>
      </c>
      <c r="C94" s="4" t="s">
        <v>825</v>
      </c>
      <c r="I94" s="271" t="s">
        <v>880</v>
      </c>
      <c r="J94" s="49" t="s">
        <v>826</v>
      </c>
    </row>
    <row r="95" spans="2:10" ht="15" thickBot="1">
      <c r="B95">
        <v>2</v>
      </c>
      <c r="C95" s="4" t="s">
        <v>486</v>
      </c>
      <c r="I95" s="209" t="s">
        <v>208</v>
      </c>
      <c r="J95" t="s">
        <v>487</v>
      </c>
    </row>
    <row r="96" spans="2:10" ht="15" thickBot="1">
      <c r="B96">
        <v>3</v>
      </c>
      <c r="C96" s="4" t="s">
        <v>488</v>
      </c>
      <c r="I96" s="272">
        <v>-6000</v>
      </c>
      <c r="J96" t="s">
        <v>881</v>
      </c>
    </row>
    <row r="97" spans="2:24" ht="15" thickBot="1">
      <c r="B97">
        <v>4</v>
      </c>
      <c r="C97" t="s">
        <v>829</v>
      </c>
      <c r="I97" s="272" t="s">
        <v>9</v>
      </c>
      <c r="P97">
        <v>51</v>
      </c>
      <c r="Q97" t="s">
        <v>830</v>
      </c>
      <c r="W97" s="277" t="s">
        <v>9</v>
      </c>
    </row>
    <row r="98" spans="2:24" ht="15" thickBot="1">
      <c r="B98">
        <v>5</v>
      </c>
      <c r="C98" s="4" t="s">
        <v>537</v>
      </c>
      <c r="I98" s="209" t="s">
        <v>9</v>
      </c>
      <c r="P98">
        <v>52</v>
      </c>
      <c r="Q98" t="s">
        <v>831</v>
      </c>
      <c r="W98" s="278" t="s">
        <v>9</v>
      </c>
    </row>
    <row r="99" spans="2:24" ht="15" thickBot="1">
      <c r="B99">
        <v>3</v>
      </c>
      <c r="C99" s="4" t="s">
        <v>538</v>
      </c>
      <c r="H99" t="s">
        <v>832</v>
      </c>
      <c r="I99" s="272" t="s">
        <v>9</v>
      </c>
      <c r="P99">
        <v>58</v>
      </c>
      <c r="Q99" t="s">
        <v>833</v>
      </c>
      <c r="R99" s="1"/>
      <c r="S99" s="1"/>
      <c r="W99" s="278">
        <v>0</v>
      </c>
    </row>
    <row r="100" spans="2:24" ht="15" thickBot="1">
      <c r="B100">
        <v>4</v>
      </c>
      <c r="C100" s="4" t="s">
        <v>500</v>
      </c>
      <c r="I100" s="272" t="s">
        <v>9</v>
      </c>
      <c r="J100" s="274"/>
      <c r="P100">
        <v>59</v>
      </c>
      <c r="Q100" t="s">
        <v>835</v>
      </c>
      <c r="R100" s="1"/>
      <c r="S100" s="1"/>
      <c r="W100" s="278">
        <v>540</v>
      </c>
    </row>
    <row r="101" spans="2:24" ht="15" thickBot="1">
      <c r="B101">
        <v>5</v>
      </c>
      <c r="C101" s="4" t="s">
        <v>501</v>
      </c>
      <c r="I101" s="272">
        <v>480</v>
      </c>
      <c r="P101">
        <v>60</v>
      </c>
      <c r="Q101" t="s">
        <v>778</v>
      </c>
      <c r="R101" s="1"/>
      <c r="S101" s="1"/>
      <c r="W101" s="278" t="s">
        <v>9</v>
      </c>
    </row>
    <row r="102" spans="2:24" ht="15" thickBot="1">
      <c r="B102">
        <v>6</v>
      </c>
      <c r="C102" s="4" t="s">
        <v>502</v>
      </c>
      <c r="H102" t="s">
        <v>832</v>
      </c>
      <c r="I102" s="272" t="s">
        <v>9</v>
      </c>
      <c r="P102">
        <v>61</v>
      </c>
      <c r="Q102" t="s">
        <v>767</v>
      </c>
      <c r="R102" s="1"/>
      <c r="S102" s="1"/>
      <c r="W102" s="278" t="s">
        <v>9</v>
      </c>
    </row>
    <row r="103" spans="2:24" ht="15" thickBot="1">
      <c r="B103">
        <v>10</v>
      </c>
      <c r="C103" s="4" t="s">
        <v>503</v>
      </c>
      <c r="I103" s="272" t="s">
        <v>9</v>
      </c>
      <c r="P103">
        <v>62</v>
      </c>
      <c r="Q103" t="s">
        <v>769</v>
      </c>
      <c r="R103" s="1"/>
      <c r="S103" s="1"/>
      <c r="W103" s="278" t="s">
        <v>9</v>
      </c>
    </row>
    <row r="104" spans="2:24" ht="15" thickBot="1">
      <c r="B104">
        <v>11</v>
      </c>
      <c r="C104" s="4" t="s">
        <v>504</v>
      </c>
      <c r="I104" s="272" t="s">
        <v>9</v>
      </c>
      <c r="P104">
        <v>63</v>
      </c>
      <c r="Q104" t="s">
        <v>771</v>
      </c>
      <c r="R104" s="1"/>
      <c r="S104" s="1"/>
      <c r="W104" s="278" t="s">
        <v>9</v>
      </c>
    </row>
    <row r="105" spans="2:24" ht="15" thickBot="1">
      <c r="B105">
        <v>12</v>
      </c>
      <c r="C105" s="4" t="s">
        <v>34</v>
      </c>
      <c r="I105" s="272">
        <v>653</v>
      </c>
      <c r="J105" t="s">
        <v>837</v>
      </c>
      <c r="P105">
        <v>64</v>
      </c>
      <c r="Q105" t="s">
        <v>772</v>
      </c>
      <c r="R105" s="1"/>
      <c r="S105" s="1"/>
      <c r="W105" s="278" t="s">
        <v>9</v>
      </c>
      <c r="X105" t="s">
        <v>838</v>
      </c>
    </row>
    <row r="106" spans="2:24" ht="15" thickBot="1">
      <c r="B106">
        <v>13</v>
      </c>
      <c r="C106" s="4" t="s">
        <v>37</v>
      </c>
      <c r="I106" s="272">
        <v>1306</v>
      </c>
      <c r="J106" s="4"/>
      <c r="K106" s="4"/>
      <c r="P106">
        <f t="shared" ref="P106:P124" si="1">P105+1</f>
        <v>65</v>
      </c>
      <c r="Q106" t="s">
        <v>775</v>
      </c>
      <c r="S106" s="4"/>
      <c r="W106" s="278" t="s">
        <v>9</v>
      </c>
    </row>
    <row r="107" spans="2:24" ht="15" thickBot="1">
      <c r="B107">
        <v>14</v>
      </c>
      <c r="C107" s="4" t="s">
        <v>39</v>
      </c>
      <c r="I107" s="272">
        <v>1800</v>
      </c>
      <c r="J107" s="4"/>
      <c r="K107" s="4"/>
      <c r="P107">
        <f t="shared" si="1"/>
        <v>66</v>
      </c>
      <c r="Q107" t="s">
        <v>777</v>
      </c>
      <c r="S107" s="4"/>
      <c r="W107" s="278" t="s">
        <v>9</v>
      </c>
    </row>
    <row r="108" spans="2:24" ht="15" thickBot="1">
      <c r="B108">
        <v>15</v>
      </c>
      <c r="C108" s="4" t="s">
        <v>766</v>
      </c>
      <c r="I108" s="272">
        <v>1320</v>
      </c>
      <c r="J108" s="4"/>
      <c r="K108" s="4"/>
      <c r="P108">
        <f t="shared" si="1"/>
        <v>67</v>
      </c>
      <c r="Q108" t="s">
        <v>778</v>
      </c>
      <c r="S108" s="4"/>
      <c r="W108" s="278" t="s">
        <v>9</v>
      </c>
      <c r="X108" t="s">
        <v>839</v>
      </c>
    </row>
    <row r="109" spans="2:24" ht="15" thickBot="1">
      <c r="B109">
        <v>16</v>
      </c>
      <c r="C109" s="4" t="s">
        <v>768</v>
      </c>
      <c r="I109" s="272" t="s">
        <v>9</v>
      </c>
      <c r="P109">
        <f t="shared" si="1"/>
        <v>68</v>
      </c>
      <c r="Q109" s="7" t="s">
        <v>841</v>
      </c>
      <c r="R109" s="41"/>
      <c r="S109" s="41"/>
      <c r="W109" s="278" t="s">
        <v>9</v>
      </c>
    </row>
    <row r="110" spans="2:24" ht="15" thickBot="1">
      <c r="B110">
        <v>17</v>
      </c>
      <c r="C110" s="4" t="s">
        <v>505</v>
      </c>
      <c r="I110" s="272">
        <v>1308</v>
      </c>
      <c r="P110">
        <f t="shared" si="1"/>
        <v>69</v>
      </c>
      <c r="Q110" s="275" t="s">
        <v>842</v>
      </c>
      <c r="R110" s="1"/>
      <c r="S110" s="1"/>
      <c r="W110" s="278" t="s">
        <v>9</v>
      </c>
    </row>
    <row r="111" spans="2:24" ht="15" thickBot="1">
      <c r="B111">
        <v>18</v>
      </c>
      <c r="C111" s="4" t="s">
        <v>506</v>
      </c>
      <c r="I111" s="272">
        <v>90</v>
      </c>
      <c r="P111">
        <f t="shared" si="1"/>
        <v>70</v>
      </c>
      <c r="Q111" s="275" t="s">
        <v>844</v>
      </c>
      <c r="W111" s="278">
        <v>450</v>
      </c>
    </row>
    <row r="112" spans="2:24" ht="15" thickBot="1">
      <c r="B112">
        <v>19</v>
      </c>
      <c r="C112" s="4" t="s">
        <v>507</v>
      </c>
      <c r="I112" s="272">
        <v>48</v>
      </c>
      <c r="P112">
        <f t="shared" si="1"/>
        <v>71</v>
      </c>
      <c r="Q112" s="275" t="s">
        <v>845</v>
      </c>
      <c r="W112" s="278">
        <v>780</v>
      </c>
    </row>
    <row r="113" spans="2:24" ht="15" thickBot="1">
      <c r="B113">
        <v>20</v>
      </c>
      <c r="C113" t="s">
        <v>70</v>
      </c>
      <c r="I113" s="272">
        <v>90</v>
      </c>
      <c r="P113">
        <f t="shared" si="1"/>
        <v>72</v>
      </c>
      <c r="Q113" s="275" t="s">
        <v>846</v>
      </c>
      <c r="W113" s="278">
        <v>660</v>
      </c>
    </row>
    <row r="114" spans="2:24" ht="15" thickBot="1">
      <c r="B114">
        <v>21</v>
      </c>
      <c r="C114" t="s">
        <v>72</v>
      </c>
      <c r="I114" s="272">
        <v>90</v>
      </c>
      <c r="P114">
        <f t="shared" si="1"/>
        <v>73</v>
      </c>
      <c r="Q114" s="275" t="s">
        <v>847</v>
      </c>
      <c r="R114" s="40"/>
      <c r="W114" s="278" t="s">
        <v>9</v>
      </c>
    </row>
    <row r="115" spans="2:24" ht="15" thickBot="1">
      <c r="B115">
        <v>22</v>
      </c>
      <c r="C115" t="s">
        <v>74</v>
      </c>
      <c r="I115" s="272">
        <v>180</v>
      </c>
      <c r="P115">
        <f t="shared" si="1"/>
        <v>74</v>
      </c>
      <c r="Q115" s="275" t="s">
        <v>848</v>
      </c>
      <c r="R115" s="40"/>
      <c r="W115" s="278">
        <v>5400</v>
      </c>
    </row>
    <row r="116" spans="2:24" ht="15" thickBot="1">
      <c r="B116">
        <v>23</v>
      </c>
      <c r="C116" t="s">
        <v>76</v>
      </c>
      <c r="I116" s="272">
        <v>766</v>
      </c>
      <c r="P116">
        <f t="shared" si="1"/>
        <v>75</v>
      </c>
      <c r="Q116" s="275" t="s">
        <v>849</v>
      </c>
      <c r="R116" s="40"/>
      <c r="W116" s="278">
        <v>0</v>
      </c>
    </row>
    <row r="117" spans="2:24" ht="15" thickBot="1">
      <c r="B117">
        <v>24</v>
      </c>
      <c r="C117" t="s">
        <v>510</v>
      </c>
      <c r="I117" s="272" t="s">
        <v>9</v>
      </c>
      <c r="J117" t="s">
        <v>850</v>
      </c>
      <c r="P117">
        <f t="shared" si="1"/>
        <v>76</v>
      </c>
      <c r="Q117" s="275" t="s">
        <v>851</v>
      </c>
      <c r="R117" s="40"/>
      <c r="W117" s="278" t="s">
        <v>9</v>
      </c>
    </row>
    <row r="118" spans="2:24" ht="15" thickBot="1">
      <c r="B118">
        <v>25</v>
      </c>
      <c r="C118" t="s">
        <v>91</v>
      </c>
      <c r="I118" s="272" t="s">
        <v>208</v>
      </c>
      <c r="J118" t="s">
        <v>850</v>
      </c>
      <c r="P118">
        <f t="shared" si="1"/>
        <v>77</v>
      </c>
      <c r="Q118" s="275" t="s">
        <v>852</v>
      </c>
      <c r="R118" s="40"/>
      <c r="W118" s="278">
        <v>1800</v>
      </c>
    </row>
    <row r="119" spans="2:24" ht="15" thickBot="1">
      <c r="B119">
        <v>26</v>
      </c>
      <c r="C119" t="s">
        <v>93</v>
      </c>
      <c r="I119" s="272">
        <v>0</v>
      </c>
      <c r="P119">
        <f t="shared" si="1"/>
        <v>78</v>
      </c>
      <c r="Q119" s="275" t="s">
        <v>853</v>
      </c>
      <c r="R119" s="40"/>
      <c r="W119" s="278">
        <v>180</v>
      </c>
      <c r="X119" t="s">
        <v>854</v>
      </c>
    </row>
    <row r="120" spans="2:24" ht="15" thickBot="1">
      <c r="B120">
        <v>27</v>
      </c>
      <c r="C120" t="s">
        <v>114</v>
      </c>
      <c r="I120" s="272">
        <v>2880</v>
      </c>
      <c r="P120">
        <f t="shared" si="1"/>
        <v>79</v>
      </c>
      <c r="Q120" s="275" t="s">
        <v>855</v>
      </c>
      <c r="R120" s="40"/>
      <c r="W120" s="278">
        <v>300</v>
      </c>
    </row>
    <row r="121" spans="2:24" ht="15" thickBot="1">
      <c r="B121">
        <v>28</v>
      </c>
      <c r="C121" t="s">
        <v>116</v>
      </c>
      <c r="I121" s="272">
        <v>4740</v>
      </c>
      <c r="P121">
        <f t="shared" si="1"/>
        <v>80</v>
      </c>
      <c r="Q121" s="275" t="s">
        <v>856</v>
      </c>
      <c r="R121" s="40"/>
      <c r="W121" s="278">
        <v>180</v>
      </c>
    </row>
    <row r="122" spans="2:24" ht="15" thickBot="1">
      <c r="B122">
        <v>29</v>
      </c>
      <c r="C122" t="s">
        <v>120</v>
      </c>
      <c r="I122" s="272">
        <v>2220</v>
      </c>
      <c r="P122">
        <f t="shared" si="1"/>
        <v>81</v>
      </c>
      <c r="Q122" s="275" t="s">
        <v>858</v>
      </c>
      <c r="R122" s="40"/>
      <c r="W122" s="278">
        <v>60</v>
      </c>
    </row>
    <row r="123" spans="2:24" ht="15" thickBot="1">
      <c r="B123">
        <v>30</v>
      </c>
      <c r="C123" t="s">
        <v>122</v>
      </c>
      <c r="I123" s="272">
        <v>2300</v>
      </c>
      <c r="P123">
        <f t="shared" si="1"/>
        <v>82</v>
      </c>
      <c r="Q123" s="275" t="s">
        <v>859</v>
      </c>
      <c r="R123" s="40"/>
      <c r="W123" s="278" t="s">
        <v>9</v>
      </c>
      <c r="X123" t="s">
        <v>860</v>
      </c>
    </row>
    <row r="124" spans="2:24" ht="15" thickBot="1">
      <c r="B124">
        <v>31</v>
      </c>
      <c r="C124" t="s">
        <v>124</v>
      </c>
      <c r="I124" s="272">
        <v>4620</v>
      </c>
      <c r="P124">
        <f t="shared" si="1"/>
        <v>83</v>
      </c>
      <c r="Q124" t="s">
        <v>861</v>
      </c>
      <c r="R124" s="40"/>
      <c r="W124" s="278" t="s">
        <v>882</v>
      </c>
      <c r="X124" t="s">
        <v>862</v>
      </c>
    </row>
    <row r="125" spans="2:24" ht="15" thickBot="1">
      <c r="B125">
        <v>32</v>
      </c>
      <c r="C125" t="s">
        <v>126</v>
      </c>
      <c r="I125" s="272">
        <v>5100</v>
      </c>
      <c r="P125">
        <v>84</v>
      </c>
      <c r="Q125" s="275" t="s">
        <v>863</v>
      </c>
      <c r="R125" s="40"/>
      <c r="W125" s="278">
        <v>9500</v>
      </c>
      <c r="X125" t="s">
        <v>883</v>
      </c>
    </row>
    <row r="126" spans="2:24" ht="15" thickBot="1">
      <c r="B126">
        <v>33</v>
      </c>
      <c r="C126" s="4" t="s">
        <v>511</v>
      </c>
      <c r="I126" s="272">
        <v>600</v>
      </c>
      <c r="P126">
        <v>85</v>
      </c>
      <c r="Q126" s="275" t="s">
        <v>865</v>
      </c>
      <c r="W126" s="278" t="s">
        <v>9</v>
      </c>
      <c r="X126" t="s">
        <v>866</v>
      </c>
    </row>
    <row r="127" spans="2:24" ht="15" thickBot="1">
      <c r="B127">
        <v>34</v>
      </c>
      <c r="C127" s="4" t="s">
        <v>302</v>
      </c>
      <c r="I127" s="272" t="s">
        <v>9</v>
      </c>
      <c r="J127" t="s">
        <v>867</v>
      </c>
      <c r="P127">
        <v>86</v>
      </c>
      <c r="Q127" s="275" t="s">
        <v>868</v>
      </c>
      <c r="W127" s="278" t="s">
        <v>9</v>
      </c>
    </row>
    <row r="128" spans="2:24" ht="15" thickBot="1">
      <c r="B128">
        <v>35</v>
      </c>
      <c r="C128" s="4" t="s">
        <v>513</v>
      </c>
      <c r="I128" s="272">
        <v>120</v>
      </c>
      <c r="P128">
        <v>87</v>
      </c>
      <c r="Q128" s="275" t="s">
        <v>869</v>
      </c>
      <c r="W128" s="278" t="s">
        <v>9</v>
      </c>
      <c r="X128" t="s">
        <v>870</v>
      </c>
    </row>
    <row r="129" spans="2:24" ht="15" thickBot="1">
      <c r="B129">
        <v>36</v>
      </c>
      <c r="C129" s="4" t="s">
        <v>514</v>
      </c>
      <c r="I129" s="272">
        <v>240</v>
      </c>
      <c r="J129" t="s">
        <v>884</v>
      </c>
      <c r="P129">
        <v>88</v>
      </c>
      <c r="Q129" s="275" t="s">
        <v>872</v>
      </c>
      <c r="W129" s="278" t="s">
        <v>9</v>
      </c>
      <c r="X129" t="s">
        <v>873</v>
      </c>
    </row>
    <row r="130" spans="2:24" ht="15" thickBot="1">
      <c r="B130">
        <v>37</v>
      </c>
      <c r="C130" t="s">
        <v>150</v>
      </c>
      <c r="I130" s="272">
        <v>800</v>
      </c>
      <c r="J130" t="s">
        <v>874</v>
      </c>
      <c r="P130">
        <v>89</v>
      </c>
      <c r="Q130" s="275" t="s">
        <v>875</v>
      </c>
      <c r="W130" s="278" t="s">
        <v>9</v>
      </c>
      <c r="X130" t="s">
        <v>876</v>
      </c>
    </row>
    <row r="131" spans="2:24" ht="15" thickBot="1">
      <c r="B131">
        <v>38</v>
      </c>
      <c r="C131" t="s">
        <v>152</v>
      </c>
      <c r="I131" s="272">
        <v>800</v>
      </c>
      <c r="P131">
        <v>90</v>
      </c>
      <c r="Q131" s="275" t="s">
        <v>877</v>
      </c>
      <c r="W131" s="278">
        <v>250</v>
      </c>
      <c r="X131" t="s">
        <v>878</v>
      </c>
    </row>
    <row r="132" spans="2:24" ht="15" thickBot="1">
      <c r="B132">
        <v>39</v>
      </c>
      <c r="C132" t="s">
        <v>154</v>
      </c>
      <c r="I132" s="272">
        <v>1150</v>
      </c>
      <c r="P132">
        <v>90</v>
      </c>
      <c r="Q132" s="275" t="s">
        <v>879</v>
      </c>
      <c r="W132" s="278">
        <v>300</v>
      </c>
      <c r="X132" t="s">
        <v>878</v>
      </c>
    </row>
    <row r="133" spans="2:24" ht="15" thickBot="1">
      <c r="B133">
        <v>39</v>
      </c>
      <c r="C133" t="s">
        <v>156</v>
      </c>
      <c r="I133" s="272">
        <v>800</v>
      </c>
    </row>
    <row r="134" spans="2:24" ht="15" thickBot="1">
      <c r="B134">
        <v>40</v>
      </c>
      <c r="C134" t="s">
        <v>157</v>
      </c>
      <c r="I134" s="272">
        <v>1150</v>
      </c>
    </row>
    <row r="135" spans="2:24" ht="15" thickBot="1">
      <c r="B135">
        <v>41</v>
      </c>
      <c r="C135" t="s">
        <v>158</v>
      </c>
      <c r="I135" s="272">
        <v>1848</v>
      </c>
    </row>
    <row r="136" spans="2:24" ht="15" thickBot="1">
      <c r="B136">
        <v>42</v>
      </c>
      <c r="C136" t="s">
        <v>160</v>
      </c>
      <c r="I136" s="272">
        <v>2232</v>
      </c>
    </row>
    <row r="137" spans="2:24" ht="15" thickBot="1">
      <c r="B137">
        <v>43</v>
      </c>
      <c r="C137" t="s">
        <v>161</v>
      </c>
      <c r="I137" s="272">
        <v>2376</v>
      </c>
      <c r="J137" t="s">
        <v>159</v>
      </c>
    </row>
    <row r="138" spans="2:24" ht="15" thickBot="1">
      <c r="B138">
        <v>44</v>
      </c>
      <c r="C138" t="s">
        <v>162</v>
      </c>
      <c r="I138" s="272" t="s">
        <v>9</v>
      </c>
    </row>
    <row r="139" spans="2:24">
      <c r="B139">
        <v>45</v>
      </c>
      <c r="C139" t="s">
        <v>167</v>
      </c>
      <c r="I139" s="209">
        <v>2400</v>
      </c>
    </row>
    <row r="140" spans="2:24" ht="15" thickBot="1">
      <c r="B140">
        <v>46</v>
      </c>
      <c r="C140" t="s">
        <v>344</v>
      </c>
      <c r="I140" s="271">
        <v>90</v>
      </c>
    </row>
    <row r="141" spans="2:24" ht="15" thickBot="1">
      <c r="B141">
        <v>47</v>
      </c>
      <c r="C141" t="s">
        <v>302</v>
      </c>
      <c r="I141" s="272" t="s">
        <v>9</v>
      </c>
    </row>
    <row r="142" spans="2:24" ht="15" thickBot="1">
      <c r="B142">
        <v>48</v>
      </c>
      <c r="C142" t="s">
        <v>525</v>
      </c>
      <c r="I142" s="272" t="s">
        <v>9</v>
      </c>
    </row>
    <row r="143" spans="2:24" ht="15" thickBot="1">
      <c r="B143">
        <v>49</v>
      </c>
      <c r="C143" t="s">
        <v>527</v>
      </c>
      <c r="I143" s="272">
        <v>1800</v>
      </c>
    </row>
    <row r="144" spans="2:24" ht="15" thickBot="1">
      <c r="B144">
        <v>50</v>
      </c>
      <c r="C144" t="s">
        <v>543</v>
      </c>
      <c r="I144" s="272">
        <v>2280</v>
      </c>
    </row>
    <row r="146" spans="1:22">
      <c r="B146" s="1" t="s">
        <v>933</v>
      </c>
      <c r="C146" s="1" t="s">
        <v>934</v>
      </c>
      <c r="D146" s="1"/>
      <c r="E146" s="1" t="s">
        <v>935</v>
      </c>
      <c r="F146" s="1"/>
      <c r="G146" s="1" t="s">
        <v>936</v>
      </c>
      <c r="H146" s="1"/>
      <c r="I146" s="1"/>
    </row>
    <row r="147" spans="1:22">
      <c r="C147" s="1"/>
    </row>
    <row r="148" spans="1:22" ht="15" thickBot="1">
      <c r="B148" s="1" t="s">
        <v>915</v>
      </c>
      <c r="C148" t="s">
        <v>246</v>
      </c>
      <c r="D148" s="2">
        <v>277402</v>
      </c>
      <c r="E148" t="s">
        <v>916</v>
      </c>
      <c r="H148" s="280" t="s">
        <v>937</v>
      </c>
    </row>
    <row r="149" spans="1:22">
      <c r="B149" s="1"/>
      <c r="C149" s="1"/>
      <c r="D149" s="1"/>
      <c r="E149" s="1"/>
      <c r="F149" s="1"/>
    </row>
    <row r="150" spans="1:22">
      <c r="B150" s="1"/>
      <c r="C150" s="1"/>
      <c r="D150" s="1"/>
      <c r="E150" s="1"/>
      <c r="F150" s="1"/>
    </row>
    <row r="151" spans="1:22">
      <c r="B151" s="3" t="s">
        <v>239</v>
      </c>
      <c r="E151" s="380" t="s">
        <v>824</v>
      </c>
      <c r="F151" s="380"/>
      <c r="G151" s="381"/>
      <c r="H151" s="381"/>
    </row>
    <row r="152" spans="1:22">
      <c r="B152" s="4"/>
    </row>
    <row r="153" spans="1:22" ht="15" thickBot="1">
      <c r="A153">
        <v>1</v>
      </c>
      <c r="B153" s="4" t="s">
        <v>825</v>
      </c>
      <c r="H153" s="271">
        <v>-5500</v>
      </c>
      <c r="I153" s="49"/>
    </row>
    <row r="154" spans="1:22" ht="15" thickBot="1">
      <c r="A154">
        <v>2</v>
      </c>
      <c r="B154" s="4" t="s">
        <v>486</v>
      </c>
      <c r="H154" s="209">
        <v>8609</v>
      </c>
    </row>
    <row r="155" spans="1:22" ht="15" thickBot="1">
      <c r="A155">
        <v>3</v>
      </c>
      <c r="B155" s="4" t="s">
        <v>488</v>
      </c>
      <c r="H155" s="272">
        <v>455</v>
      </c>
    </row>
    <row r="156" spans="1:22" ht="15" thickBot="1">
      <c r="A156">
        <v>4</v>
      </c>
      <c r="B156" t="s">
        <v>829</v>
      </c>
      <c r="H156" s="272">
        <v>7247</v>
      </c>
      <c r="O156">
        <v>51</v>
      </c>
      <c r="P156" t="s">
        <v>830</v>
      </c>
      <c r="V156" s="335">
        <v>5706</v>
      </c>
    </row>
    <row r="157" spans="1:22" ht="15" thickBot="1">
      <c r="A157">
        <v>5</v>
      </c>
      <c r="B157" s="4" t="s">
        <v>537</v>
      </c>
      <c r="H157" s="209" t="s">
        <v>9</v>
      </c>
      <c r="O157">
        <v>52</v>
      </c>
      <c r="P157" t="s">
        <v>831</v>
      </c>
      <c r="V157" s="336">
        <v>7748</v>
      </c>
    </row>
    <row r="158" spans="1:22" ht="15" thickBot="1">
      <c r="A158">
        <v>3</v>
      </c>
      <c r="B158" s="4" t="s">
        <v>538</v>
      </c>
      <c r="G158" t="s">
        <v>832</v>
      </c>
      <c r="H158" s="272">
        <v>5600</v>
      </c>
      <c r="O158">
        <v>58</v>
      </c>
      <c r="P158" t="s">
        <v>833</v>
      </c>
      <c r="Q158" s="1"/>
      <c r="R158" s="1"/>
      <c r="V158" s="336">
        <v>673</v>
      </c>
    </row>
    <row r="159" spans="1:22" ht="15" thickBot="1">
      <c r="A159">
        <v>4</v>
      </c>
      <c r="B159" s="4" t="s">
        <v>500</v>
      </c>
      <c r="H159" s="272">
        <v>719</v>
      </c>
      <c r="I159" s="274"/>
      <c r="O159">
        <v>59</v>
      </c>
      <c r="P159" t="s">
        <v>835</v>
      </c>
      <c r="Q159" s="1"/>
      <c r="R159" s="1"/>
      <c r="V159" s="336">
        <v>450</v>
      </c>
    </row>
    <row r="160" spans="1:22" ht="15" thickBot="1">
      <c r="A160">
        <v>5</v>
      </c>
      <c r="B160" s="4" t="s">
        <v>501</v>
      </c>
      <c r="H160" s="272">
        <v>989</v>
      </c>
      <c r="O160">
        <v>60</v>
      </c>
      <c r="P160" t="s">
        <v>778</v>
      </c>
      <c r="Q160" s="1"/>
      <c r="R160" s="1"/>
      <c r="V160" s="336" t="s">
        <v>209</v>
      </c>
    </row>
    <row r="161" spans="1:25" ht="15" thickBot="1">
      <c r="A161">
        <v>6</v>
      </c>
      <c r="B161" s="4" t="s">
        <v>502</v>
      </c>
      <c r="G161" t="s">
        <v>832</v>
      </c>
      <c r="H161" s="272">
        <v>8125</v>
      </c>
      <c r="O161">
        <v>61</v>
      </c>
      <c r="P161" t="s">
        <v>767</v>
      </c>
      <c r="Q161" s="1"/>
      <c r="R161" s="1"/>
      <c r="V161" s="336" t="s">
        <v>209</v>
      </c>
    </row>
    <row r="162" spans="1:25" ht="15" thickBot="1">
      <c r="A162">
        <v>10</v>
      </c>
      <c r="B162" s="4" t="s">
        <v>503</v>
      </c>
      <c r="H162" s="272">
        <v>195</v>
      </c>
      <c r="O162">
        <v>62</v>
      </c>
      <c r="P162" t="s">
        <v>769</v>
      </c>
      <c r="Q162" s="1"/>
      <c r="R162" s="1"/>
      <c r="V162" s="336">
        <v>1400</v>
      </c>
    </row>
    <row r="163" spans="1:25" ht="15" thickBot="1">
      <c r="A163">
        <v>11</v>
      </c>
      <c r="B163" s="4" t="s">
        <v>504</v>
      </c>
      <c r="H163" s="272">
        <v>403</v>
      </c>
      <c r="O163">
        <v>63</v>
      </c>
      <c r="P163" t="s">
        <v>771</v>
      </c>
      <c r="Q163" s="1"/>
      <c r="R163" s="1"/>
      <c r="V163" s="336">
        <v>2604</v>
      </c>
    </row>
    <row r="164" spans="1:25" ht="15" thickBot="1">
      <c r="A164">
        <v>12</v>
      </c>
      <c r="B164" s="4" t="s">
        <v>34</v>
      </c>
      <c r="H164" s="272">
        <v>987</v>
      </c>
      <c r="I164" t="s">
        <v>837</v>
      </c>
      <c r="O164">
        <v>64</v>
      </c>
      <c r="P164" t="s">
        <v>772</v>
      </c>
      <c r="Q164" s="1"/>
      <c r="R164" s="1"/>
      <c r="V164" s="273">
        <v>1875</v>
      </c>
      <c r="W164" t="s">
        <v>917</v>
      </c>
    </row>
    <row r="165" spans="1:25" ht="15" thickBot="1">
      <c r="A165">
        <v>13</v>
      </c>
      <c r="B165" s="4" t="s">
        <v>37</v>
      </c>
      <c r="H165" s="272">
        <v>1157</v>
      </c>
      <c r="I165" s="4"/>
      <c r="J165" s="4"/>
      <c r="O165">
        <f t="shared" ref="O165:O183" si="2">O164+1</f>
        <v>65</v>
      </c>
      <c r="P165" t="s">
        <v>775</v>
      </c>
      <c r="R165" s="4"/>
      <c r="V165" s="336">
        <v>15863</v>
      </c>
      <c r="Y165" t="s">
        <v>776</v>
      </c>
    </row>
    <row r="166" spans="1:25" ht="15" thickBot="1">
      <c r="A166">
        <v>14</v>
      </c>
      <c r="B166" s="4" t="s">
        <v>39</v>
      </c>
      <c r="H166" s="272">
        <v>1281</v>
      </c>
      <c r="I166" s="4"/>
      <c r="J166" s="4"/>
      <c r="O166">
        <f t="shared" si="2"/>
        <v>66</v>
      </c>
      <c r="P166" t="s">
        <v>777</v>
      </c>
      <c r="R166" s="4"/>
      <c r="V166" s="336" t="s">
        <v>9</v>
      </c>
      <c r="Y166" t="s">
        <v>776</v>
      </c>
    </row>
    <row r="167" spans="1:25" ht="15" thickBot="1">
      <c r="A167">
        <v>15</v>
      </c>
      <c r="B167" s="4" t="s">
        <v>766</v>
      </c>
      <c r="H167" s="272">
        <v>1021</v>
      </c>
      <c r="I167" s="4"/>
      <c r="J167" s="4"/>
      <c r="O167">
        <f t="shared" si="2"/>
        <v>67</v>
      </c>
      <c r="P167" t="s">
        <v>778</v>
      </c>
      <c r="R167" s="4"/>
      <c r="V167" s="336" t="s">
        <v>209</v>
      </c>
      <c r="W167" t="s">
        <v>839</v>
      </c>
      <c r="Y167" t="s">
        <v>779</v>
      </c>
    </row>
    <row r="168" spans="1:25" ht="15" thickBot="1">
      <c r="A168">
        <v>16</v>
      </c>
      <c r="B168" s="4" t="s">
        <v>768</v>
      </c>
      <c r="H168" s="272">
        <v>1235</v>
      </c>
      <c r="O168">
        <f t="shared" si="2"/>
        <v>68</v>
      </c>
      <c r="P168" t="s">
        <v>841</v>
      </c>
      <c r="Q168" s="1"/>
      <c r="R168" s="1"/>
      <c r="V168" s="336">
        <v>3080</v>
      </c>
    </row>
    <row r="169" spans="1:25" ht="15" thickBot="1">
      <c r="A169">
        <v>17</v>
      </c>
      <c r="B169" s="4" t="s">
        <v>505</v>
      </c>
      <c r="H169" s="272">
        <v>102</v>
      </c>
      <c r="O169">
        <f t="shared" si="2"/>
        <v>69</v>
      </c>
      <c r="P169" s="275" t="s">
        <v>842</v>
      </c>
      <c r="Q169" s="1"/>
      <c r="R169" s="1"/>
      <c r="V169" s="336" t="s">
        <v>209</v>
      </c>
    </row>
    <row r="170" spans="1:25" ht="15" thickBot="1">
      <c r="A170">
        <v>18</v>
      </c>
      <c r="B170" s="4" t="s">
        <v>506</v>
      </c>
      <c r="H170" s="272">
        <v>40</v>
      </c>
      <c r="O170">
        <f t="shared" si="2"/>
        <v>70</v>
      </c>
      <c r="P170" s="275" t="s">
        <v>844</v>
      </c>
      <c r="V170" s="336" t="s">
        <v>209</v>
      </c>
    </row>
    <row r="171" spans="1:25" ht="15" thickBot="1">
      <c r="A171">
        <v>19</v>
      </c>
      <c r="B171" s="4" t="s">
        <v>507</v>
      </c>
      <c r="H171" s="272">
        <v>66</v>
      </c>
      <c r="O171">
        <f t="shared" si="2"/>
        <v>71</v>
      </c>
      <c r="P171" s="275" t="s">
        <v>845</v>
      </c>
      <c r="V171" s="336">
        <v>727</v>
      </c>
    </row>
    <row r="172" spans="1:25" ht="15" thickBot="1">
      <c r="A172">
        <v>20</v>
      </c>
      <c r="B172" t="s">
        <v>70</v>
      </c>
      <c r="H172" s="272">
        <v>114</v>
      </c>
      <c r="O172">
        <f t="shared" si="2"/>
        <v>72</v>
      </c>
      <c r="P172" s="275" t="s">
        <v>846</v>
      </c>
      <c r="V172" s="336">
        <v>761</v>
      </c>
    </row>
    <row r="173" spans="1:25" ht="15" thickBot="1">
      <c r="A173">
        <v>21</v>
      </c>
      <c r="B173" t="s">
        <v>72</v>
      </c>
      <c r="H173" s="272">
        <v>180</v>
      </c>
      <c r="O173">
        <f t="shared" si="2"/>
        <v>73</v>
      </c>
      <c r="P173" s="275" t="s">
        <v>847</v>
      </c>
      <c r="Q173" s="40"/>
      <c r="V173" s="336">
        <v>4128</v>
      </c>
    </row>
    <row r="174" spans="1:25" ht="15" thickBot="1">
      <c r="A174">
        <v>22</v>
      </c>
      <c r="B174" t="s">
        <v>74</v>
      </c>
      <c r="H174" s="272">
        <v>211</v>
      </c>
      <c r="O174">
        <f t="shared" si="2"/>
        <v>74</v>
      </c>
      <c r="P174" s="275" t="s">
        <v>848</v>
      </c>
      <c r="Q174" s="40"/>
      <c r="V174" s="336" t="s">
        <v>209</v>
      </c>
    </row>
    <row r="175" spans="1:25" ht="15" thickBot="1">
      <c r="A175">
        <v>23</v>
      </c>
      <c r="B175" t="s">
        <v>76</v>
      </c>
      <c r="H175" s="272" t="s">
        <v>209</v>
      </c>
      <c r="O175">
        <f t="shared" si="2"/>
        <v>75</v>
      </c>
      <c r="P175" s="275" t="s">
        <v>849</v>
      </c>
      <c r="Q175" s="40"/>
      <c r="V175" s="336" t="s">
        <v>9</v>
      </c>
    </row>
    <row r="176" spans="1:25" ht="15" thickBot="1">
      <c r="A176">
        <v>24</v>
      </c>
      <c r="B176" t="s">
        <v>510</v>
      </c>
      <c r="H176" s="337" t="s">
        <v>209</v>
      </c>
      <c r="I176" t="s">
        <v>850</v>
      </c>
      <c r="O176">
        <f t="shared" si="2"/>
        <v>76</v>
      </c>
      <c r="P176" s="275" t="s">
        <v>851</v>
      </c>
      <c r="Q176" s="40"/>
      <c r="V176" s="336" t="s">
        <v>9</v>
      </c>
    </row>
    <row r="177" spans="1:23" ht="15" thickBot="1">
      <c r="A177">
        <v>25</v>
      </c>
      <c r="B177" t="s">
        <v>91</v>
      </c>
      <c r="H177" s="272" t="s">
        <v>9</v>
      </c>
      <c r="I177" t="s">
        <v>850</v>
      </c>
      <c r="O177">
        <f t="shared" si="2"/>
        <v>77</v>
      </c>
      <c r="P177" s="275" t="s">
        <v>852</v>
      </c>
      <c r="Q177" s="40"/>
      <c r="V177" s="336">
        <v>1209</v>
      </c>
    </row>
    <row r="178" spans="1:23" ht="15" thickBot="1">
      <c r="A178">
        <v>26</v>
      </c>
      <c r="B178" t="s">
        <v>93</v>
      </c>
      <c r="H178" s="272" t="s">
        <v>9</v>
      </c>
      <c r="O178">
        <f t="shared" si="2"/>
        <v>78</v>
      </c>
      <c r="P178" s="275" t="s">
        <v>853</v>
      </c>
      <c r="Q178" s="40"/>
      <c r="V178" s="273">
        <v>1560</v>
      </c>
      <c r="W178" t="s">
        <v>918</v>
      </c>
    </row>
    <row r="179" spans="1:23" ht="15" thickBot="1">
      <c r="A179">
        <v>27</v>
      </c>
      <c r="B179" t="s">
        <v>114</v>
      </c>
      <c r="H179" s="272">
        <v>5600</v>
      </c>
      <c r="O179">
        <f t="shared" si="2"/>
        <v>79</v>
      </c>
      <c r="P179" s="275" t="s">
        <v>855</v>
      </c>
      <c r="Q179" s="40"/>
      <c r="V179" s="336">
        <v>266</v>
      </c>
    </row>
    <row r="180" spans="1:23" ht="15" thickBot="1">
      <c r="A180">
        <v>28</v>
      </c>
      <c r="B180" t="s">
        <v>116</v>
      </c>
      <c r="H180" s="272">
        <v>6800</v>
      </c>
      <c r="O180">
        <f t="shared" si="2"/>
        <v>80</v>
      </c>
      <c r="P180" s="275" t="s">
        <v>856</v>
      </c>
      <c r="Q180" s="40"/>
      <c r="V180" s="336">
        <v>918</v>
      </c>
    </row>
    <row r="181" spans="1:23" ht="15" thickBot="1">
      <c r="A181">
        <v>29</v>
      </c>
      <c r="B181" t="s">
        <v>120</v>
      </c>
      <c r="H181" s="272">
        <v>4350</v>
      </c>
      <c r="O181">
        <f t="shared" si="2"/>
        <v>81</v>
      </c>
      <c r="P181" s="275" t="s">
        <v>858</v>
      </c>
      <c r="Q181" s="40"/>
      <c r="V181" s="336">
        <v>45</v>
      </c>
      <c r="W181" t="s">
        <v>919</v>
      </c>
    </row>
    <row r="182" spans="1:23" ht="15" thickBot="1">
      <c r="A182">
        <v>30</v>
      </c>
      <c r="B182" t="s">
        <v>122</v>
      </c>
      <c r="H182" s="272" t="s">
        <v>209</v>
      </c>
      <c r="O182">
        <f t="shared" si="2"/>
        <v>82</v>
      </c>
      <c r="P182" s="275" t="s">
        <v>859</v>
      </c>
      <c r="Q182" s="40"/>
      <c r="V182" s="336" t="s">
        <v>9</v>
      </c>
      <c r="W182" t="s">
        <v>860</v>
      </c>
    </row>
    <row r="183" spans="1:23" ht="15" thickBot="1">
      <c r="A183">
        <v>31</v>
      </c>
      <c r="B183" t="s">
        <v>124</v>
      </c>
      <c r="H183" s="272">
        <v>5100</v>
      </c>
      <c r="O183">
        <f t="shared" si="2"/>
        <v>83</v>
      </c>
      <c r="P183" t="s">
        <v>861</v>
      </c>
      <c r="Q183" s="40"/>
      <c r="V183" s="336" t="s">
        <v>209</v>
      </c>
      <c r="W183" t="s">
        <v>862</v>
      </c>
    </row>
    <row r="184" spans="1:23" ht="15" thickBot="1">
      <c r="A184">
        <v>32</v>
      </c>
      <c r="B184" t="s">
        <v>126</v>
      </c>
      <c r="H184" s="272">
        <v>6500</v>
      </c>
      <c r="O184">
        <v>84</v>
      </c>
      <c r="P184" s="275" t="s">
        <v>863</v>
      </c>
      <c r="Q184" s="40"/>
      <c r="V184" s="336" t="s">
        <v>9</v>
      </c>
      <c r="W184" t="s">
        <v>864</v>
      </c>
    </row>
    <row r="185" spans="1:23" ht="15" thickBot="1">
      <c r="A185">
        <v>33</v>
      </c>
      <c r="B185" s="4" t="s">
        <v>511</v>
      </c>
      <c r="H185" s="272" t="s">
        <v>209</v>
      </c>
      <c r="O185">
        <v>85</v>
      </c>
      <c r="P185" s="275" t="s">
        <v>865</v>
      </c>
      <c r="V185" s="336" t="s">
        <v>209</v>
      </c>
      <c r="W185" t="s">
        <v>866</v>
      </c>
    </row>
    <row r="186" spans="1:23" ht="15" thickBot="1">
      <c r="A186">
        <v>34</v>
      </c>
      <c r="B186" s="4" t="s">
        <v>302</v>
      </c>
      <c r="H186" s="272" t="s">
        <v>9</v>
      </c>
      <c r="I186" t="s">
        <v>867</v>
      </c>
      <c r="O186">
        <v>86</v>
      </c>
      <c r="P186" s="275" t="s">
        <v>868</v>
      </c>
      <c r="V186" s="336" t="s">
        <v>209</v>
      </c>
    </row>
    <row r="187" spans="1:23" ht="15" thickBot="1">
      <c r="A187">
        <v>35</v>
      </c>
      <c r="B187" s="4" t="s">
        <v>513</v>
      </c>
      <c r="H187" s="272" t="s">
        <v>192</v>
      </c>
      <c r="O187">
        <v>87</v>
      </c>
      <c r="P187" s="275" t="s">
        <v>869</v>
      </c>
      <c r="V187" s="336" t="s">
        <v>209</v>
      </c>
      <c r="W187" t="s">
        <v>870</v>
      </c>
    </row>
    <row r="188" spans="1:23" ht="15" thickBot="1">
      <c r="A188">
        <v>36</v>
      </c>
      <c r="B188" s="4" t="s">
        <v>514</v>
      </c>
      <c r="H188" s="272" t="s">
        <v>209</v>
      </c>
      <c r="O188">
        <v>88</v>
      </c>
      <c r="P188" s="275" t="s">
        <v>872</v>
      </c>
      <c r="V188" s="336" t="s">
        <v>209</v>
      </c>
      <c r="W188" t="s">
        <v>873</v>
      </c>
    </row>
    <row r="189" spans="1:23" ht="15" thickBot="1">
      <c r="A189">
        <v>37</v>
      </c>
      <c r="B189" t="s">
        <v>150</v>
      </c>
      <c r="H189" s="272">
        <v>500</v>
      </c>
      <c r="I189" t="s">
        <v>874</v>
      </c>
      <c r="O189">
        <v>89</v>
      </c>
      <c r="P189" s="275" t="s">
        <v>875</v>
      </c>
      <c r="V189" s="336" t="s">
        <v>209</v>
      </c>
      <c r="W189" t="s">
        <v>876</v>
      </c>
    </row>
    <row r="190" spans="1:23" ht="15" thickBot="1">
      <c r="A190">
        <v>38</v>
      </c>
      <c r="B190" t="s">
        <v>152</v>
      </c>
      <c r="H190" s="272">
        <v>415</v>
      </c>
      <c r="O190">
        <v>90</v>
      </c>
      <c r="P190" s="275" t="s">
        <v>877</v>
      </c>
      <c r="V190" s="336" t="s">
        <v>9</v>
      </c>
      <c r="W190" t="s">
        <v>878</v>
      </c>
    </row>
    <row r="191" spans="1:23" ht="15" thickBot="1">
      <c r="A191">
        <v>39</v>
      </c>
      <c r="B191" t="s">
        <v>154</v>
      </c>
      <c r="H191" s="272">
        <v>1330</v>
      </c>
      <c r="O191">
        <v>90</v>
      </c>
      <c r="P191" s="275" t="s">
        <v>879</v>
      </c>
      <c r="V191" s="336" t="s">
        <v>9</v>
      </c>
      <c r="W191" t="s">
        <v>878</v>
      </c>
    </row>
    <row r="192" spans="1:23" ht="15" thickBot="1">
      <c r="A192">
        <v>39</v>
      </c>
      <c r="B192" t="s">
        <v>156</v>
      </c>
      <c r="H192" s="272">
        <v>1330</v>
      </c>
      <c r="O192">
        <v>91</v>
      </c>
      <c r="P192" s="275" t="s">
        <v>31</v>
      </c>
      <c r="V192" s="273">
        <v>1430</v>
      </c>
    </row>
    <row r="193" spans="1:23" ht="15" thickBot="1">
      <c r="A193">
        <v>40</v>
      </c>
      <c r="B193" t="s">
        <v>157</v>
      </c>
      <c r="H193" s="272">
        <v>1920</v>
      </c>
      <c r="O193">
        <v>92</v>
      </c>
      <c r="P193" s="338" t="s">
        <v>920</v>
      </c>
      <c r="V193" s="273">
        <v>9375</v>
      </c>
      <c r="W193" t="s">
        <v>921</v>
      </c>
    </row>
    <row r="194" spans="1:23" ht="15" thickBot="1">
      <c r="A194">
        <v>41</v>
      </c>
      <c r="B194" t="s">
        <v>158</v>
      </c>
      <c r="H194" s="272">
        <v>2178</v>
      </c>
      <c r="O194">
        <v>93</v>
      </c>
      <c r="P194" s="338" t="s">
        <v>922</v>
      </c>
      <c r="V194" s="273">
        <v>9687</v>
      </c>
      <c r="W194" t="s">
        <v>921</v>
      </c>
    </row>
    <row r="195" spans="1:23" ht="15" thickBot="1">
      <c r="A195">
        <v>42</v>
      </c>
      <c r="B195" t="s">
        <v>160</v>
      </c>
      <c r="H195" s="272">
        <v>2388</v>
      </c>
      <c r="O195">
        <v>94</v>
      </c>
      <c r="P195" s="338" t="s">
        <v>923</v>
      </c>
      <c r="V195" s="273">
        <v>5625</v>
      </c>
      <c r="W195" t="s">
        <v>921</v>
      </c>
    </row>
    <row r="196" spans="1:23" ht="15" thickBot="1">
      <c r="A196">
        <v>43</v>
      </c>
      <c r="B196" t="s">
        <v>161</v>
      </c>
      <c r="H196" s="272">
        <v>2546</v>
      </c>
      <c r="I196" t="s">
        <v>159</v>
      </c>
      <c r="O196">
        <v>95</v>
      </c>
      <c r="P196" s="338" t="s">
        <v>924</v>
      </c>
      <c r="V196" s="273">
        <v>8125</v>
      </c>
      <c r="W196" t="s">
        <v>921</v>
      </c>
    </row>
    <row r="197" spans="1:23" ht="15" thickBot="1">
      <c r="A197">
        <v>44</v>
      </c>
      <c r="B197" t="s">
        <v>162</v>
      </c>
      <c r="H197" s="272">
        <v>2728</v>
      </c>
      <c r="O197">
        <v>96</v>
      </c>
      <c r="P197" s="338" t="s">
        <v>925</v>
      </c>
      <c r="V197" s="273">
        <v>9500</v>
      </c>
      <c r="W197" t="s">
        <v>921</v>
      </c>
    </row>
    <row r="198" spans="1:23" ht="15" thickBot="1">
      <c r="A198">
        <v>45</v>
      </c>
      <c r="B198" t="s">
        <v>167</v>
      </c>
      <c r="H198" s="272">
        <v>1790</v>
      </c>
      <c r="O198">
        <v>97</v>
      </c>
      <c r="P198" s="338" t="s">
        <v>926</v>
      </c>
      <c r="V198" s="273">
        <v>53125</v>
      </c>
      <c r="W198" t="s">
        <v>921</v>
      </c>
    </row>
    <row r="199" spans="1:23" ht="15" thickBot="1">
      <c r="A199">
        <v>46</v>
      </c>
      <c r="B199" t="s">
        <v>344</v>
      </c>
      <c r="H199" s="272">
        <v>116</v>
      </c>
    </row>
    <row r="200" spans="1:23" ht="15" thickBot="1">
      <c r="A200">
        <v>47</v>
      </c>
      <c r="B200" t="s">
        <v>302</v>
      </c>
      <c r="H200" s="272" t="s">
        <v>9</v>
      </c>
    </row>
    <row r="201" spans="1:23" ht="15" thickBot="1">
      <c r="A201">
        <v>48</v>
      </c>
      <c r="B201" t="s">
        <v>525</v>
      </c>
      <c r="H201" s="272" t="s">
        <v>9</v>
      </c>
    </row>
    <row r="202" spans="1:23" ht="15" thickBot="1">
      <c r="A202">
        <v>49</v>
      </c>
      <c r="B202" t="s">
        <v>527</v>
      </c>
      <c r="H202" s="272">
        <v>9136</v>
      </c>
    </row>
    <row r="203" spans="1:23" ht="15" thickBot="1">
      <c r="A203">
        <v>50</v>
      </c>
      <c r="B203" t="s">
        <v>543</v>
      </c>
      <c r="H203" s="271" t="s">
        <v>9</v>
      </c>
    </row>
    <row r="204" spans="1:23">
      <c r="H204" s="209"/>
    </row>
    <row r="205" spans="1:23">
      <c r="H205" s="209"/>
    </row>
    <row r="206" spans="1:23">
      <c r="D206" s="1"/>
      <c r="E206" s="1"/>
      <c r="F206" s="1"/>
    </row>
    <row r="207" spans="1:23" ht="15" thickBot="1">
      <c r="A207" s="1" t="s">
        <v>927</v>
      </c>
      <c r="D207" s="76" t="s">
        <v>928</v>
      </c>
      <c r="E207" s="76"/>
    </row>
    <row r="208" spans="1:23">
      <c r="A208" s="4"/>
      <c r="D208" s="1"/>
      <c r="E208" s="1"/>
      <c r="F208" s="1"/>
    </row>
    <row r="209" spans="1:9" ht="15" thickBot="1">
      <c r="A209" s="1" t="s">
        <v>929</v>
      </c>
      <c r="D209" s="76"/>
      <c r="E209" s="76"/>
    </row>
    <row r="210" spans="1:9">
      <c r="D210" s="1"/>
      <c r="E210" s="1"/>
      <c r="F210" s="1"/>
    </row>
    <row r="211" spans="1:9" ht="15" thickBot="1">
      <c r="A211" s="1" t="s">
        <v>930</v>
      </c>
      <c r="D211" s="76" t="s">
        <v>474</v>
      </c>
      <c r="E211" s="76"/>
    </row>
    <row r="212" spans="1:9">
      <c r="A212" s="1"/>
    </row>
    <row r="213" spans="1:9" ht="15" thickBot="1">
      <c r="A213" s="1" t="s">
        <v>931</v>
      </c>
      <c r="D213" s="339">
        <v>45023</v>
      </c>
      <c r="E213" s="76"/>
    </row>
    <row r="214" spans="1:9">
      <c r="I214" t="s">
        <v>526</v>
      </c>
    </row>
    <row r="215" spans="1:9">
      <c r="A215" t="s">
        <v>932</v>
      </c>
      <c r="I215" s="220"/>
    </row>
  </sheetData>
  <sheetProtection algorithmName="SHA-512" hashValue="gKqJqIgXwVPJE1bEfG+u5+pEdHUzEATvtCpBUppzbc9BjCtlWH2pL/YgTlzErBk+rKZUlqN9kqH2uZWU5eiWiw==" saltValue="bTMPlAKMzaRD6ad1Yr7V/A==" spinCount="100000" sheet="1" objects="1" scenarios="1"/>
  <mergeCells count="3">
    <mergeCell ref="G23:I23"/>
    <mergeCell ref="G92:I92"/>
    <mergeCell ref="E151:H15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506D9-2432-45BA-BB95-43EC0E179DC7}">
  <dimension ref="A2:Y330"/>
  <sheetViews>
    <sheetView tabSelected="1" topLeftCell="D1" workbookViewId="0">
      <selection activeCell="K261" sqref="K261"/>
    </sheetView>
  </sheetViews>
  <sheetFormatPr defaultRowHeight="14.4"/>
  <cols>
    <col min="1" max="2" width="9" bestFit="1" customWidth="1"/>
    <col min="4" max="4" width="12.5546875" bestFit="1" customWidth="1"/>
    <col min="5" max="5" width="10.5546875" customWidth="1"/>
    <col min="6" max="6" width="12.109375" bestFit="1" customWidth="1"/>
    <col min="7" max="7" width="34.33203125" bestFit="1" customWidth="1"/>
    <col min="8" max="8" width="25.33203125" customWidth="1"/>
    <col min="9" max="9" width="10.109375" bestFit="1" customWidth="1"/>
    <col min="10" max="10" width="44.44140625" bestFit="1" customWidth="1"/>
    <col min="11" max="11" width="47" customWidth="1"/>
    <col min="12" max="12" width="17.21875" bestFit="1" customWidth="1"/>
    <col min="13" max="13" width="11" customWidth="1"/>
    <col min="14" max="15" width="9" bestFit="1" customWidth="1"/>
    <col min="16" max="16" width="49.77734375" customWidth="1"/>
    <col min="17" max="17" width="11.44140625" bestFit="1" customWidth="1"/>
    <col min="18" max="18" width="16.44140625" customWidth="1"/>
    <col min="19" max="19" width="10.109375" bestFit="1" customWidth="1"/>
  </cols>
  <sheetData>
    <row r="2" spans="1:25" ht="18" customHeight="1">
      <c r="A2" s="40"/>
      <c r="B2" s="40"/>
      <c r="C2" s="220" t="s">
        <v>791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5" ht="18" customHeight="1">
      <c r="A3" s="40"/>
      <c r="B3" s="40"/>
      <c r="C3" s="382" t="s">
        <v>757</v>
      </c>
      <c r="D3" s="382"/>
      <c r="E3" s="382"/>
      <c r="F3" s="382"/>
      <c r="G3" s="382"/>
      <c r="H3" s="222"/>
      <c r="I3" s="40"/>
      <c r="J3" s="368" t="s">
        <v>979</v>
      </c>
      <c r="K3" s="40"/>
      <c r="L3" s="222"/>
      <c r="M3" s="40"/>
      <c r="N3" s="40"/>
      <c r="O3" s="40"/>
      <c r="P3" s="40"/>
      <c r="Q3" s="40"/>
      <c r="R3" s="222"/>
      <c r="S3" s="40"/>
      <c r="T3" s="40"/>
      <c r="U3" s="40"/>
      <c r="V3" s="40"/>
      <c r="W3" s="40"/>
      <c r="X3" s="212"/>
      <c r="Y3" s="212"/>
    </row>
    <row r="4" spans="1:25" ht="18" customHeight="1">
      <c r="A4" s="40"/>
      <c r="B4" s="40"/>
      <c r="C4" s="220" t="s">
        <v>758</v>
      </c>
      <c r="D4" s="40"/>
      <c r="E4" s="40"/>
      <c r="F4" s="40"/>
      <c r="G4" s="40"/>
      <c r="H4" s="222"/>
      <c r="I4" s="40"/>
      <c r="J4" s="40"/>
      <c r="K4" s="220" t="s">
        <v>792</v>
      </c>
      <c r="L4" s="222"/>
      <c r="M4" s="40"/>
      <c r="N4" s="40"/>
      <c r="O4" s="40"/>
      <c r="P4" s="40"/>
      <c r="Q4" s="40"/>
      <c r="R4" s="222"/>
      <c r="S4" s="40"/>
      <c r="T4" s="40"/>
      <c r="U4" s="40"/>
      <c r="V4" s="40"/>
      <c r="W4" s="40"/>
      <c r="X4" s="212"/>
      <c r="Y4" s="212"/>
    </row>
    <row r="5" spans="1:25" ht="18" customHeight="1">
      <c r="A5" s="40"/>
      <c r="B5" s="40"/>
      <c r="C5" s="220" t="s">
        <v>0</v>
      </c>
      <c r="D5" s="40"/>
      <c r="E5" s="40"/>
      <c r="F5" s="40"/>
      <c r="G5" s="40"/>
      <c r="H5" s="219"/>
      <c r="I5" s="40"/>
      <c r="J5" s="40"/>
      <c r="K5" s="220" t="s">
        <v>794</v>
      </c>
      <c r="L5" s="222"/>
      <c r="M5" s="40"/>
      <c r="N5" s="40"/>
      <c r="O5" s="40"/>
      <c r="P5" s="40"/>
      <c r="Q5" s="40"/>
      <c r="R5" s="222"/>
      <c r="S5" s="40"/>
      <c r="T5" s="40"/>
      <c r="U5" s="40"/>
      <c r="V5" s="40"/>
      <c r="W5" s="40"/>
      <c r="X5" s="212"/>
      <c r="Y5" s="212"/>
    </row>
    <row r="6" spans="1:25" ht="18" customHeight="1">
      <c r="A6" s="40"/>
      <c r="B6" s="40"/>
      <c r="C6" s="220"/>
      <c r="D6" s="40"/>
      <c r="E6" s="40"/>
      <c r="F6" s="40"/>
      <c r="G6" s="40"/>
      <c r="H6" s="219"/>
      <c r="I6" s="40"/>
      <c r="J6" s="40"/>
      <c r="K6" s="220" t="s">
        <v>793</v>
      </c>
      <c r="L6" s="222"/>
      <c r="M6" s="40"/>
      <c r="N6" s="40"/>
      <c r="O6" s="40"/>
      <c r="P6" s="40"/>
      <c r="Q6" s="40"/>
      <c r="R6" s="222"/>
      <c r="S6" s="40"/>
      <c r="T6" s="40"/>
      <c r="U6" s="40"/>
      <c r="V6" s="40"/>
      <c r="W6" s="40"/>
      <c r="X6" s="212"/>
      <c r="Y6" s="212"/>
    </row>
    <row r="7" spans="1:25" ht="18" customHeight="1" thickBot="1">
      <c r="A7" s="40"/>
      <c r="B7" s="40"/>
      <c r="C7" s="220" t="s">
        <v>759</v>
      </c>
      <c r="D7" s="220" t="s">
        <v>760</v>
      </c>
      <c r="E7" s="383">
        <v>260971</v>
      </c>
      <c r="F7" s="383"/>
      <c r="G7" s="350">
        <f>E7*1.031</f>
        <v>269061.10099999997</v>
      </c>
      <c r="H7" s="40" t="s">
        <v>761</v>
      </c>
      <c r="I7" s="40"/>
      <c r="J7" s="40"/>
      <c r="K7" s="220" t="s">
        <v>795</v>
      </c>
      <c r="L7" s="222"/>
      <c r="M7" s="40"/>
      <c r="N7" s="40"/>
      <c r="O7" s="40"/>
      <c r="P7" s="40"/>
      <c r="Q7" s="40"/>
      <c r="R7" s="222"/>
      <c r="S7" s="40"/>
      <c r="T7" s="40"/>
      <c r="U7" s="40"/>
      <c r="V7" s="40"/>
      <c r="W7" s="40"/>
      <c r="X7" s="212"/>
      <c r="Y7" s="212"/>
    </row>
    <row r="8" spans="1:25" ht="18" customHeight="1" thickBot="1">
      <c r="A8" s="40"/>
      <c r="B8" s="40"/>
      <c r="C8" s="220"/>
      <c r="D8" s="220"/>
      <c r="E8" s="40"/>
      <c r="F8" s="40"/>
      <c r="G8" s="40"/>
      <c r="H8" s="220" t="s">
        <v>762</v>
      </c>
      <c r="I8" s="223" t="s">
        <v>9</v>
      </c>
      <c r="J8" s="223"/>
      <c r="K8" s="40"/>
      <c r="L8" s="222"/>
      <c r="M8" s="40"/>
      <c r="N8" s="40"/>
      <c r="O8" s="40"/>
      <c r="P8" s="40"/>
      <c r="Q8" s="40"/>
      <c r="R8" s="222"/>
      <c r="S8" s="40"/>
      <c r="T8" s="40"/>
      <c r="U8" s="40"/>
      <c r="V8" s="40"/>
      <c r="W8" s="40"/>
      <c r="X8" s="212"/>
      <c r="Y8" s="212"/>
    </row>
    <row r="9" spans="1:25" ht="18" customHeight="1" thickBot="1">
      <c r="A9" s="40"/>
      <c r="B9" s="40"/>
      <c r="C9" s="220" t="s">
        <v>759</v>
      </c>
      <c r="D9" s="220" t="s">
        <v>763</v>
      </c>
      <c r="E9" s="223" t="s">
        <v>9</v>
      </c>
      <c r="F9" s="223"/>
      <c r="G9" s="40"/>
      <c r="H9" s="220"/>
      <c r="I9" s="40"/>
      <c r="J9" s="40"/>
      <c r="K9" s="40"/>
      <c r="L9" s="222"/>
      <c r="M9" s="40"/>
      <c r="N9" s="40"/>
      <c r="O9" s="40"/>
      <c r="P9" s="40"/>
      <c r="Q9" s="40"/>
      <c r="R9" s="222"/>
      <c r="S9" s="40"/>
      <c r="T9" s="40"/>
      <c r="U9" s="40"/>
      <c r="V9" s="40"/>
      <c r="W9" s="40"/>
      <c r="X9" s="212"/>
      <c r="Y9" s="212"/>
    </row>
    <row r="10" spans="1:25" ht="18" customHeight="1" thickBot="1">
      <c r="A10" s="40"/>
      <c r="B10" s="40"/>
      <c r="C10" s="40"/>
      <c r="D10" s="40"/>
      <c r="E10" s="40"/>
      <c r="F10" s="40"/>
      <c r="G10" s="40"/>
      <c r="H10" s="220" t="s">
        <v>764</v>
      </c>
      <c r="I10" s="223" t="s">
        <v>9</v>
      </c>
      <c r="J10" s="223"/>
      <c r="K10" s="40"/>
      <c r="L10" s="222"/>
      <c r="M10" s="40"/>
      <c r="N10" s="40"/>
      <c r="O10" s="40"/>
      <c r="P10" s="40"/>
      <c r="Q10" s="40"/>
      <c r="R10" s="222"/>
      <c r="S10" s="40"/>
      <c r="T10" s="40"/>
      <c r="U10" s="40"/>
      <c r="V10" s="40"/>
      <c r="W10" s="40"/>
      <c r="X10" s="212"/>
      <c r="Y10" s="212"/>
    </row>
    <row r="11" spans="1:25" ht="18" customHeight="1">
      <c r="A11" s="40"/>
      <c r="B11" s="40"/>
      <c r="C11" s="40"/>
      <c r="D11" s="40"/>
      <c r="E11" s="40"/>
      <c r="F11" s="40"/>
      <c r="G11" s="40"/>
      <c r="H11" s="222"/>
      <c r="I11" s="40"/>
      <c r="J11" s="40"/>
      <c r="K11" s="40"/>
      <c r="L11" s="222"/>
      <c r="M11" s="40"/>
      <c r="N11" s="40"/>
      <c r="O11" s="40"/>
      <c r="P11" s="40"/>
      <c r="Q11" s="40"/>
      <c r="R11" s="222"/>
      <c r="S11" s="40"/>
      <c r="T11" s="40"/>
      <c r="U11" s="40"/>
      <c r="V11" s="40"/>
      <c r="W11" s="40"/>
      <c r="X11" s="212"/>
      <c r="Y11" s="212"/>
    </row>
    <row r="12" spans="1:25" ht="18" customHeight="1">
      <c r="A12" s="40"/>
      <c r="B12" s="40"/>
      <c r="C12" s="224" t="s">
        <v>22</v>
      </c>
      <c r="D12" s="40"/>
      <c r="E12" s="40"/>
      <c r="F12" s="40"/>
      <c r="G12" s="40"/>
      <c r="H12" s="222"/>
      <c r="I12" s="352" t="s">
        <v>966</v>
      </c>
      <c r="J12" s="40"/>
      <c r="K12" s="40"/>
      <c r="L12" s="222"/>
      <c r="M12" s="40"/>
      <c r="N12" s="40"/>
      <c r="O12" s="40"/>
      <c r="P12" s="40"/>
      <c r="Q12" s="40"/>
      <c r="R12" s="222"/>
      <c r="S12" s="40"/>
      <c r="T12" s="40"/>
      <c r="U12" s="40"/>
      <c r="V12" s="40"/>
      <c r="W12" s="40"/>
      <c r="X12" s="212"/>
      <c r="Y12" s="212"/>
    </row>
    <row r="13" spans="1:25" ht="18" customHeight="1" thickBot="1">
      <c r="A13" s="40"/>
      <c r="B13" s="40">
        <v>1</v>
      </c>
      <c r="C13" s="225" t="s">
        <v>23</v>
      </c>
      <c r="D13" s="40"/>
      <c r="E13" s="40"/>
      <c r="F13" s="40"/>
      <c r="G13" s="40"/>
      <c r="H13" s="213">
        <v>1720</v>
      </c>
      <c r="I13" s="350">
        <f>H13*1.031</f>
        <v>1773.32</v>
      </c>
      <c r="J13" s="40">
        <v>64</v>
      </c>
      <c r="K13" s="225" t="s">
        <v>809</v>
      </c>
      <c r="L13" s="213">
        <v>218</v>
      </c>
      <c r="M13" s="350">
        <f t="shared" ref="M13:M62" si="0">L13*1.031</f>
        <v>224.75799999999998</v>
      </c>
      <c r="N13" s="40"/>
      <c r="O13" s="40">
        <v>132</v>
      </c>
      <c r="P13" s="40" t="s">
        <v>25</v>
      </c>
      <c r="Q13" s="40"/>
      <c r="R13" s="213">
        <v>5750</v>
      </c>
      <c r="S13" s="350">
        <f t="shared" ref="S13:S30" si="1">R13*1.031</f>
        <v>5928.2499999999991</v>
      </c>
      <c r="T13" s="40"/>
      <c r="U13" s="40"/>
      <c r="V13" s="40"/>
      <c r="W13" s="40"/>
      <c r="X13" s="212"/>
      <c r="Y13" s="212"/>
    </row>
    <row r="14" spans="1:25" ht="18" customHeight="1" thickBot="1">
      <c r="A14" s="40"/>
      <c r="B14" s="40">
        <f>(B13+1)</f>
        <v>2</v>
      </c>
      <c r="C14" s="225" t="s">
        <v>26</v>
      </c>
      <c r="D14" s="40"/>
      <c r="E14" s="40"/>
      <c r="F14" s="40"/>
      <c r="G14" s="40"/>
      <c r="H14" s="213">
        <v>1514</v>
      </c>
      <c r="I14" s="350">
        <f t="shared" ref="I14:I60" si="2">H14*1.031</f>
        <v>1560.934</v>
      </c>
      <c r="J14" s="40">
        <f t="shared" ref="J14:J57" si="3">(J13+1)</f>
        <v>65</v>
      </c>
      <c r="K14" s="225" t="s">
        <v>69</v>
      </c>
      <c r="L14" s="213">
        <v>-65</v>
      </c>
      <c r="M14" s="350">
        <f t="shared" si="0"/>
        <v>-67.015000000000001</v>
      </c>
      <c r="N14" s="40"/>
      <c r="O14" s="40">
        <v>133</v>
      </c>
      <c r="P14" s="40" t="s">
        <v>28</v>
      </c>
      <c r="Q14" s="40"/>
      <c r="R14" s="213">
        <v>7860</v>
      </c>
      <c r="S14" s="350">
        <f t="shared" si="1"/>
        <v>8103.6599999999989</v>
      </c>
      <c r="T14" s="40"/>
      <c r="U14" s="40"/>
      <c r="V14" s="40"/>
      <c r="W14" s="40"/>
      <c r="X14" s="212"/>
      <c r="Y14" s="212"/>
    </row>
    <row r="15" spans="1:25" ht="18" customHeight="1" thickBot="1">
      <c r="A15" s="40"/>
      <c r="B15" s="40">
        <f t="shared" ref="B15:B61" si="4">(B14+1)</f>
        <v>3</v>
      </c>
      <c r="C15" s="225" t="s">
        <v>29</v>
      </c>
      <c r="D15" s="40"/>
      <c r="E15" s="40"/>
      <c r="F15" s="40"/>
      <c r="G15" s="40"/>
      <c r="H15" s="213">
        <v>1054</v>
      </c>
      <c r="I15" s="350">
        <f t="shared" si="2"/>
        <v>1086.674</v>
      </c>
      <c r="J15" s="40">
        <f t="shared" si="3"/>
        <v>66</v>
      </c>
      <c r="K15" s="225" t="s">
        <v>71</v>
      </c>
      <c r="L15" s="213">
        <v>546</v>
      </c>
      <c r="M15" s="350">
        <f t="shared" si="0"/>
        <v>562.92599999999993</v>
      </c>
      <c r="N15" s="40"/>
      <c r="O15" s="40">
        <v>134</v>
      </c>
      <c r="P15" s="225" t="s">
        <v>31</v>
      </c>
      <c r="Q15" s="225"/>
      <c r="R15" s="213">
        <v>1147</v>
      </c>
      <c r="S15" s="350">
        <f t="shared" si="1"/>
        <v>1182.557</v>
      </c>
      <c r="T15" s="40" t="s">
        <v>33</v>
      </c>
      <c r="U15" s="40"/>
      <c r="V15" s="40"/>
      <c r="W15" s="40"/>
      <c r="X15" s="212"/>
      <c r="Y15" s="212"/>
    </row>
    <row r="16" spans="1:25" ht="18" customHeight="1" thickBot="1">
      <c r="A16" s="40"/>
      <c r="B16" s="40">
        <f t="shared" si="4"/>
        <v>4</v>
      </c>
      <c r="C16" s="225" t="s">
        <v>34</v>
      </c>
      <c r="D16" s="40"/>
      <c r="E16" s="40"/>
      <c r="F16" s="40"/>
      <c r="G16" s="40"/>
      <c r="H16" s="213">
        <v>988</v>
      </c>
      <c r="I16" s="350">
        <f t="shared" si="2"/>
        <v>1018.6279999999999</v>
      </c>
      <c r="J16" s="40">
        <f t="shared" si="3"/>
        <v>67</v>
      </c>
      <c r="K16" s="225" t="s">
        <v>73</v>
      </c>
      <c r="L16" s="213">
        <v>1101</v>
      </c>
      <c r="M16" s="350">
        <f t="shared" si="0"/>
        <v>1135.1309999999999</v>
      </c>
      <c r="N16" s="40"/>
      <c r="O16" s="40">
        <v>135</v>
      </c>
      <c r="P16" s="226" t="s">
        <v>36</v>
      </c>
      <c r="Q16" s="226"/>
      <c r="R16" s="213">
        <v>330</v>
      </c>
      <c r="S16" s="350">
        <f t="shared" si="1"/>
        <v>340.22999999999996</v>
      </c>
      <c r="T16" s="40" t="s">
        <v>33</v>
      </c>
      <c r="U16" s="40"/>
      <c r="V16" s="40"/>
      <c r="W16" s="40"/>
      <c r="X16" s="212"/>
      <c r="Y16" s="212"/>
    </row>
    <row r="17" spans="1:25" ht="18" customHeight="1" thickBot="1">
      <c r="A17" s="40"/>
      <c r="B17" s="40">
        <f t="shared" si="4"/>
        <v>5</v>
      </c>
      <c r="C17" s="225" t="s">
        <v>37</v>
      </c>
      <c r="D17" s="40"/>
      <c r="E17" s="40"/>
      <c r="F17" s="40"/>
      <c r="G17" s="40"/>
      <c r="H17" s="213">
        <v>1562</v>
      </c>
      <c r="I17" s="350">
        <f t="shared" si="2"/>
        <v>1610.4219999999998</v>
      </c>
      <c r="J17" s="40">
        <f t="shared" si="3"/>
        <v>68</v>
      </c>
      <c r="K17" s="225" t="s">
        <v>75</v>
      </c>
      <c r="L17" s="213">
        <v>101</v>
      </c>
      <c r="M17" s="350">
        <f t="shared" si="0"/>
        <v>104.13099999999999</v>
      </c>
      <c r="N17" s="40"/>
      <c r="O17" s="40">
        <v>136</v>
      </c>
      <c r="P17" s="225" t="s">
        <v>765</v>
      </c>
      <c r="Q17" s="225"/>
      <c r="R17" s="227">
        <v>1051</v>
      </c>
      <c r="S17" s="350">
        <f t="shared" si="1"/>
        <v>1083.5809999999999</v>
      </c>
      <c r="T17" s="40" t="s">
        <v>210</v>
      </c>
      <c r="U17" s="40"/>
      <c r="V17" s="40"/>
      <c r="W17" s="40"/>
      <c r="X17" s="212"/>
      <c r="Y17" s="212"/>
    </row>
    <row r="18" spans="1:25" ht="18" customHeight="1" thickBot="1">
      <c r="A18" s="40"/>
      <c r="B18" s="40">
        <v>6</v>
      </c>
      <c r="C18" s="225" t="s">
        <v>766</v>
      </c>
      <c r="D18" s="40"/>
      <c r="E18" s="40"/>
      <c r="F18" s="40"/>
      <c r="G18" s="40"/>
      <c r="H18" s="213">
        <v>1417</v>
      </c>
      <c r="I18" s="350">
        <f t="shared" si="2"/>
        <v>1460.9269999999999</v>
      </c>
      <c r="J18" s="40">
        <f t="shared" si="3"/>
        <v>69</v>
      </c>
      <c r="K18" s="225" t="s">
        <v>78</v>
      </c>
      <c r="L18" s="213">
        <v>228</v>
      </c>
      <c r="M18" s="350">
        <f t="shared" si="0"/>
        <v>235.06799999999998</v>
      </c>
      <c r="N18" s="40"/>
      <c r="O18" s="40">
        <f>O17+1</f>
        <v>137</v>
      </c>
      <c r="P18" s="40" t="s">
        <v>767</v>
      </c>
      <c r="Q18" s="40"/>
      <c r="R18" s="213">
        <v>960</v>
      </c>
      <c r="S18" s="350">
        <f t="shared" si="1"/>
        <v>989.75999999999988</v>
      </c>
      <c r="T18" s="40"/>
      <c r="U18" s="40"/>
      <c r="V18" s="40"/>
      <c r="W18" s="40"/>
      <c r="X18" s="212"/>
      <c r="Y18" s="212"/>
    </row>
    <row r="19" spans="1:25" ht="18" customHeight="1" thickBot="1">
      <c r="A19" s="40"/>
      <c r="B19" s="40">
        <v>7</v>
      </c>
      <c r="C19" s="225" t="s">
        <v>768</v>
      </c>
      <c r="D19" s="40"/>
      <c r="E19" s="40"/>
      <c r="F19" s="40"/>
      <c r="G19" s="40"/>
      <c r="H19" s="213">
        <v>1303</v>
      </c>
      <c r="I19" s="350">
        <f t="shared" si="2"/>
        <v>1343.3929999999998</v>
      </c>
      <c r="J19" s="40">
        <v>70</v>
      </c>
      <c r="K19" s="225" t="s">
        <v>82</v>
      </c>
      <c r="L19" s="213">
        <v>122</v>
      </c>
      <c r="M19" s="350">
        <f t="shared" si="0"/>
        <v>125.782</v>
      </c>
      <c r="N19" s="40"/>
      <c r="O19" s="40">
        <f t="shared" ref="O19:O25" si="5">O18+1</f>
        <v>138</v>
      </c>
      <c r="P19" s="40" t="s">
        <v>769</v>
      </c>
      <c r="Q19" s="40"/>
      <c r="R19" s="213">
        <v>4500</v>
      </c>
      <c r="S19" s="350">
        <f t="shared" si="1"/>
        <v>4639.5</v>
      </c>
      <c r="T19" s="40"/>
      <c r="U19" s="40"/>
      <c r="V19" s="220"/>
      <c r="W19" s="220"/>
      <c r="X19" s="212"/>
      <c r="Y19" s="212"/>
    </row>
    <row r="20" spans="1:25" ht="18" customHeight="1" thickBot="1">
      <c r="A20" s="40"/>
      <c r="B20" s="40">
        <v>8</v>
      </c>
      <c r="C20" s="225" t="s">
        <v>39</v>
      </c>
      <c r="D20" s="40"/>
      <c r="E20" s="40"/>
      <c r="F20" s="40"/>
      <c r="G20" s="40"/>
      <c r="H20" s="213">
        <v>1987</v>
      </c>
      <c r="I20" s="350">
        <f t="shared" si="2"/>
        <v>2048.5969999999998</v>
      </c>
      <c r="J20" s="40">
        <f t="shared" si="3"/>
        <v>71</v>
      </c>
      <c r="K20" s="225" t="s">
        <v>84</v>
      </c>
      <c r="L20" s="213" t="s">
        <v>770</v>
      </c>
      <c r="M20" s="350"/>
      <c r="N20" s="40"/>
      <c r="O20" s="40">
        <f t="shared" si="5"/>
        <v>139</v>
      </c>
      <c r="P20" s="40" t="s">
        <v>771</v>
      </c>
      <c r="Q20" s="40"/>
      <c r="R20" s="213">
        <v>6200</v>
      </c>
      <c r="S20" s="350">
        <f t="shared" si="1"/>
        <v>6392.2</v>
      </c>
      <c r="T20" s="40"/>
      <c r="U20" s="40"/>
      <c r="V20" s="220"/>
      <c r="W20" s="220"/>
      <c r="X20" s="212"/>
      <c r="Y20" s="212"/>
    </row>
    <row r="21" spans="1:25" ht="18" customHeight="1" thickBot="1">
      <c r="A21" s="40"/>
      <c r="B21" s="40">
        <f t="shared" si="4"/>
        <v>9</v>
      </c>
      <c r="C21" s="225" t="s">
        <v>41</v>
      </c>
      <c r="D21" s="40"/>
      <c r="E21" s="40"/>
      <c r="F21" s="40"/>
      <c r="G21" s="40"/>
      <c r="H21" s="213">
        <v>2042</v>
      </c>
      <c r="I21" s="350">
        <f t="shared" si="2"/>
        <v>2105.3019999999997</v>
      </c>
      <c r="J21" s="40">
        <f t="shared" si="3"/>
        <v>72</v>
      </c>
      <c r="K21" s="225" t="s">
        <v>86</v>
      </c>
      <c r="L21" s="213">
        <v>200</v>
      </c>
      <c r="M21" s="350">
        <f t="shared" si="0"/>
        <v>206.2</v>
      </c>
      <c r="N21" s="40"/>
      <c r="O21" s="40">
        <f t="shared" si="5"/>
        <v>140</v>
      </c>
      <c r="P21" s="40" t="s">
        <v>772</v>
      </c>
      <c r="Q21" s="40"/>
      <c r="R21" s="213" t="s">
        <v>515</v>
      </c>
      <c r="S21" s="350"/>
      <c r="T21" s="40"/>
      <c r="U21" s="40"/>
      <c r="V21" s="220"/>
      <c r="W21" s="220"/>
      <c r="X21" s="212"/>
      <c r="Y21" s="212"/>
    </row>
    <row r="22" spans="1:25" ht="18" customHeight="1" thickBot="1">
      <c r="A22" s="40"/>
      <c r="B22" s="40">
        <f>(B21+1)</f>
        <v>10</v>
      </c>
      <c r="C22" s="225" t="s">
        <v>43</v>
      </c>
      <c r="D22" s="40"/>
      <c r="E22" s="40"/>
      <c r="F22" s="40"/>
      <c r="G22" s="40"/>
      <c r="H22" s="213">
        <v>2111</v>
      </c>
      <c r="I22" s="350">
        <f t="shared" si="2"/>
        <v>2176.4409999999998</v>
      </c>
      <c r="J22" s="40">
        <f t="shared" si="3"/>
        <v>73</v>
      </c>
      <c r="K22" s="225" t="s">
        <v>88</v>
      </c>
      <c r="L22" s="213">
        <v>711</v>
      </c>
      <c r="M22" s="350">
        <f t="shared" si="0"/>
        <v>733.04099999999994</v>
      </c>
      <c r="N22" s="40"/>
      <c r="O22" s="40">
        <f t="shared" si="5"/>
        <v>141</v>
      </c>
      <c r="P22" s="40" t="s">
        <v>773</v>
      </c>
      <c r="Q22" s="40"/>
      <c r="R22" s="213">
        <v>350</v>
      </c>
      <c r="S22" s="350">
        <f t="shared" si="1"/>
        <v>360.84999999999997</v>
      </c>
      <c r="T22" s="40" t="s">
        <v>774</v>
      </c>
      <c r="U22" s="40"/>
      <c r="V22" s="220"/>
      <c r="W22" s="220"/>
      <c r="X22" s="212"/>
      <c r="Y22" s="212"/>
    </row>
    <row r="23" spans="1:25" ht="18" customHeight="1" thickBot="1">
      <c r="A23" s="40"/>
      <c r="B23" s="40">
        <f t="shared" si="4"/>
        <v>11</v>
      </c>
      <c r="C23" s="225" t="s">
        <v>45</v>
      </c>
      <c r="D23" s="40"/>
      <c r="E23" s="40"/>
      <c r="F23" s="40"/>
      <c r="G23" s="40"/>
      <c r="H23" s="213">
        <v>-200</v>
      </c>
      <c r="I23" s="350">
        <f t="shared" si="2"/>
        <v>-206.2</v>
      </c>
      <c r="J23" s="40">
        <f t="shared" si="3"/>
        <v>74</v>
      </c>
      <c r="K23" s="40" t="s">
        <v>90</v>
      </c>
      <c r="L23" s="213">
        <v>348</v>
      </c>
      <c r="M23" s="350">
        <f t="shared" si="0"/>
        <v>358.78799999999995</v>
      </c>
      <c r="N23" s="40"/>
      <c r="O23" s="40">
        <f t="shared" si="5"/>
        <v>142</v>
      </c>
      <c r="P23" s="40" t="s">
        <v>775</v>
      </c>
      <c r="Q23" s="40"/>
      <c r="R23" s="213" t="s">
        <v>9</v>
      </c>
      <c r="S23" s="350"/>
      <c r="T23" s="40" t="s">
        <v>776</v>
      </c>
      <c r="U23" s="40"/>
      <c r="V23" s="220"/>
      <c r="W23" s="220"/>
      <c r="X23" s="212"/>
      <c r="Y23" s="212"/>
    </row>
    <row r="24" spans="1:25" ht="18" customHeight="1" thickBot="1">
      <c r="A24" s="40"/>
      <c r="B24" s="40">
        <f t="shared" si="4"/>
        <v>12</v>
      </c>
      <c r="C24" s="225" t="s">
        <v>47</v>
      </c>
      <c r="D24" s="40"/>
      <c r="E24" s="40"/>
      <c r="F24" s="40"/>
      <c r="G24" s="40"/>
      <c r="H24" s="213" t="s">
        <v>9</v>
      </c>
      <c r="I24" s="351"/>
      <c r="J24" s="40">
        <f t="shared" si="3"/>
        <v>75</v>
      </c>
      <c r="K24" s="225" t="s">
        <v>92</v>
      </c>
      <c r="L24" s="213">
        <v>700</v>
      </c>
      <c r="M24" s="350">
        <f t="shared" si="0"/>
        <v>721.69999999999993</v>
      </c>
      <c r="N24" s="40"/>
      <c r="O24" s="40">
        <f t="shared" si="5"/>
        <v>143</v>
      </c>
      <c r="P24" s="40" t="s">
        <v>777</v>
      </c>
      <c r="Q24" s="40"/>
      <c r="R24" s="213" t="s">
        <v>9</v>
      </c>
      <c r="S24" s="350"/>
      <c r="T24" s="40" t="s">
        <v>776</v>
      </c>
      <c r="U24" s="40"/>
      <c r="V24" s="220"/>
      <c r="W24" s="220"/>
      <c r="X24" s="212"/>
      <c r="Y24" s="212"/>
    </row>
    <row r="25" spans="1:25" ht="18" customHeight="1" thickBot="1">
      <c r="A25" s="40"/>
      <c r="B25" s="40">
        <f t="shared" si="4"/>
        <v>13</v>
      </c>
      <c r="C25" s="40" t="s">
        <v>211</v>
      </c>
      <c r="D25" s="40"/>
      <c r="E25" s="40"/>
      <c r="F25" s="40"/>
      <c r="G25" s="40"/>
      <c r="H25" s="213">
        <v>1880</v>
      </c>
      <c r="I25" s="350">
        <f t="shared" si="2"/>
        <v>1938.2799999999997</v>
      </c>
      <c r="J25" s="40">
        <f t="shared" si="3"/>
        <v>76</v>
      </c>
      <c r="K25" s="40" t="s">
        <v>94</v>
      </c>
      <c r="L25" s="213">
        <v>216</v>
      </c>
      <c r="M25" s="350">
        <f t="shared" si="0"/>
        <v>222.69599999999997</v>
      </c>
      <c r="N25" s="40"/>
      <c r="O25" s="40">
        <f t="shared" si="5"/>
        <v>144</v>
      </c>
      <c r="P25" s="40" t="s">
        <v>778</v>
      </c>
      <c r="Q25" s="40"/>
      <c r="R25" s="213">
        <v>19495</v>
      </c>
      <c r="S25" s="350"/>
      <c r="T25" s="40" t="s">
        <v>779</v>
      </c>
      <c r="U25" s="40"/>
      <c r="V25" s="220"/>
      <c r="W25" s="220"/>
      <c r="X25" s="212"/>
      <c r="Y25" s="212"/>
    </row>
    <row r="26" spans="1:25" ht="18" customHeight="1" thickBot="1">
      <c r="A26" s="40"/>
      <c r="B26" s="40">
        <f t="shared" si="4"/>
        <v>14</v>
      </c>
      <c r="C26" s="225" t="s">
        <v>51</v>
      </c>
      <c r="D26" s="40"/>
      <c r="E26" s="40"/>
      <c r="F26" s="220"/>
      <c r="G26" s="40"/>
      <c r="H26" s="213">
        <v>2100</v>
      </c>
      <c r="I26" s="350">
        <f t="shared" si="2"/>
        <v>2165.1</v>
      </c>
      <c r="J26" s="40">
        <f t="shared" si="3"/>
        <v>77</v>
      </c>
      <c r="K26" s="40" t="s">
        <v>96</v>
      </c>
      <c r="L26" s="213">
        <v>1100</v>
      </c>
      <c r="M26" s="350">
        <f t="shared" si="0"/>
        <v>1134.0999999999999</v>
      </c>
      <c r="N26" s="40"/>
      <c r="O26" s="40">
        <v>145</v>
      </c>
      <c r="P26" s="40" t="s">
        <v>780</v>
      </c>
      <c r="Q26" s="40"/>
      <c r="R26" s="218">
        <v>1039</v>
      </c>
      <c r="S26" s="350">
        <f t="shared" si="1"/>
        <v>1071.2089999999998</v>
      </c>
      <c r="T26" s="40"/>
      <c r="U26" s="40"/>
      <c r="V26" s="220"/>
      <c r="W26" s="220"/>
      <c r="X26" s="212"/>
      <c r="Y26" s="212"/>
    </row>
    <row r="27" spans="1:25" ht="18" customHeight="1" thickBot="1">
      <c r="A27" s="40"/>
      <c r="B27" s="40">
        <f t="shared" si="4"/>
        <v>15</v>
      </c>
      <c r="C27" s="225" t="s">
        <v>53</v>
      </c>
      <c r="D27" s="40"/>
      <c r="E27" s="40"/>
      <c r="F27" s="220"/>
      <c r="G27" s="40"/>
      <c r="H27" s="213" t="s">
        <v>192</v>
      </c>
      <c r="I27" s="351"/>
      <c r="J27" s="40">
        <v>78</v>
      </c>
      <c r="K27" s="225" t="s">
        <v>781</v>
      </c>
      <c r="L27" s="213">
        <v>5830</v>
      </c>
      <c r="M27" s="350">
        <f t="shared" si="0"/>
        <v>6010.73</v>
      </c>
      <c r="N27" s="40"/>
      <c r="O27" s="40">
        <v>147</v>
      </c>
      <c r="P27" s="40" t="s">
        <v>782</v>
      </c>
      <c r="Q27" s="40"/>
      <c r="R27" s="219">
        <v>4900</v>
      </c>
      <c r="S27" s="350">
        <f t="shared" si="1"/>
        <v>5051.8999999999996</v>
      </c>
      <c r="T27" s="40"/>
      <c r="U27" s="40"/>
      <c r="V27" s="40"/>
      <c r="W27" s="40"/>
      <c r="X27" s="212"/>
      <c r="Y27" s="212"/>
    </row>
    <row r="28" spans="1:25" ht="18" customHeight="1" thickBot="1">
      <c r="A28" s="40"/>
      <c r="B28" s="40">
        <f t="shared" si="4"/>
        <v>16</v>
      </c>
      <c r="C28" s="225" t="s">
        <v>55</v>
      </c>
      <c r="D28" s="40"/>
      <c r="E28" s="40"/>
      <c r="F28" s="220"/>
      <c r="G28" s="40"/>
      <c r="H28" s="213">
        <v>679</v>
      </c>
      <c r="I28" s="350">
        <f t="shared" si="2"/>
        <v>700.04899999999998</v>
      </c>
      <c r="J28" s="40">
        <f t="shared" si="3"/>
        <v>79</v>
      </c>
      <c r="K28" s="225" t="s">
        <v>783</v>
      </c>
      <c r="L28" s="213" t="s">
        <v>9</v>
      </c>
      <c r="M28" s="350"/>
      <c r="N28" s="40"/>
      <c r="O28" s="40">
        <v>148</v>
      </c>
      <c r="P28" s="40" t="s">
        <v>784</v>
      </c>
      <c r="Q28" s="40"/>
      <c r="R28" s="219">
        <v>1877</v>
      </c>
      <c r="S28" s="350">
        <f t="shared" si="1"/>
        <v>1935.1869999999999</v>
      </c>
      <c r="T28" s="40"/>
      <c r="U28" s="40"/>
      <c r="V28" s="40"/>
      <c r="W28" s="40"/>
      <c r="X28" s="212"/>
      <c r="Y28" s="212"/>
    </row>
    <row r="29" spans="1:25" ht="18" customHeight="1" thickBot="1">
      <c r="A29" s="40"/>
      <c r="B29" s="40">
        <f t="shared" si="4"/>
        <v>17</v>
      </c>
      <c r="C29" s="225" t="s">
        <v>58</v>
      </c>
      <c r="D29" s="40"/>
      <c r="E29" s="40"/>
      <c r="F29" s="40"/>
      <c r="G29" s="40"/>
      <c r="H29" s="213">
        <v>193</v>
      </c>
      <c r="I29" s="350">
        <f t="shared" si="2"/>
        <v>198.98299999999998</v>
      </c>
      <c r="J29" s="40">
        <v>80</v>
      </c>
      <c r="K29" s="225" t="s">
        <v>108</v>
      </c>
      <c r="L29" s="213">
        <v>692</v>
      </c>
      <c r="M29" s="350">
        <f t="shared" si="0"/>
        <v>713.452</v>
      </c>
      <c r="N29" s="40"/>
      <c r="O29" s="40">
        <v>149</v>
      </c>
      <c r="P29" s="40" t="s">
        <v>785</v>
      </c>
      <c r="Q29" s="40"/>
      <c r="R29" s="219">
        <v>378</v>
      </c>
      <c r="S29" s="350">
        <f t="shared" si="1"/>
        <v>389.71799999999996</v>
      </c>
      <c r="T29" s="40"/>
      <c r="U29" s="40"/>
      <c r="V29" s="40"/>
      <c r="W29" s="40"/>
      <c r="X29" s="212"/>
      <c r="Y29" s="212"/>
    </row>
    <row r="30" spans="1:25" ht="18" customHeight="1" thickBot="1">
      <c r="A30" s="40"/>
      <c r="B30" s="40">
        <f t="shared" si="4"/>
        <v>18</v>
      </c>
      <c r="C30" s="225" t="s">
        <v>60</v>
      </c>
      <c r="D30" s="40"/>
      <c r="E30" s="40"/>
      <c r="F30" s="40"/>
      <c r="G30" s="40"/>
      <c r="H30" s="213">
        <v>50</v>
      </c>
      <c r="I30" s="350">
        <f t="shared" si="2"/>
        <v>51.55</v>
      </c>
      <c r="J30" s="40">
        <f t="shared" si="3"/>
        <v>81</v>
      </c>
      <c r="K30" s="225" t="s">
        <v>110</v>
      </c>
      <c r="L30" s="213">
        <v>425</v>
      </c>
      <c r="M30" s="350">
        <f t="shared" si="0"/>
        <v>438.17499999999995</v>
      </c>
      <c r="N30" s="40"/>
      <c r="O30" s="40">
        <v>150</v>
      </c>
      <c r="P30" s="40" t="s">
        <v>786</v>
      </c>
      <c r="Q30" s="40"/>
      <c r="R30" s="219">
        <v>5071</v>
      </c>
      <c r="S30" s="350">
        <f t="shared" si="1"/>
        <v>5228.201</v>
      </c>
      <c r="T30" s="40"/>
      <c r="U30" s="40"/>
      <c r="V30" s="40"/>
      <c r="W30" s="40"/>
      <c r="X30" s="212"/>
      <c r="Y30" s="212"/>
    </row>
    <row r="31" spans="1:25" ht="18" customHeight="1" thickBot="1">
      <c r="A31" s="40"/>
      <c r="B31" s="40">
        <f t="shared" si="4"/>
        <v>19</v>
      </c>
      <c r="C31" s="40" t="s">
        <v>62</v>
      </c>
      <c r="D31" s="40"/>
      <c r="E31" s="40"/>
      <c r="F31" s="220"/>
      <c r="G31" s="40"/>
      <c r="H31" s="213">
        <v>81</v>
      </c>
      <c r="I31" s="350">
        <f t="shared" si="2"/>
        <v>83.510999999999996</v>
      </c>
      <c r="J31" s="40">
        <f t="shared" si="3"/>
        <v>82</v>
      </c>
      <c r="K31" s="225" t="s">
        <v>112</v>
      </c>
      <c r="L31" s="213">
        <v>740</v>
      </c>
      <c r="M31" s="350">
        <f t="shared" si="0"/>
        <v>762.93999999999994</v>
      </c>
      <c r="N31" s="40"/>
      <c r="O31" s="40">
        <v>151</v>
      </c>
      <c r="P31" s="40" t="s">
        <v>787</v>
      </c>
      <c r="Q31" s="40"/>
      <c r="R31" s="219" t="s">
        <v>9</v>
      </c>
      <c r="S31" s="350"/>
      <c r="T31" s="40"/>
      <c r="U31" s="40"/>
      <c r="V31" s="40"/>
      <c r="W31" s="40"/>
      <c r="X31" s="212"/>
      <c r="Y31" s="212"/>
    </row>
    <row r="32" spans="1:25" ht="18" customHeight="1" thickBot="1">
      <c r="A32" s="40"/>
      <c r="B32" s="40">
        <f t="shared" si="4"/>
        <v>20</v>
      </c>
      <c r="C32" s="40" t="s">
        <v>64</v>
      </c>
      <c r="D32" s="40"/>
      <c r="E32" s="40"/>
      <c r="F32" s="220"/>
      <c r="G32" s="40"/>
      <c r="H32" s="213">
        <v>70</v>
      </c>
      <c r="I32" s="350">
        <f t="shared" si="2"/>
        <v>72.169999999999987</v>
      </c>
      <c r="J32" s="40">
        <f t="shared" si="3"/>
        <v>83</v>
      </c>
      <c r="K32" s="40" t="s">
        <v>114</v>
      </c>
      <c r="L32" s="213">
        <v>5625</v>
      </c>
      <c r="M32" s="350">
        <f t="shared" si="0"/>
        <v>5799.3749999999991</v>
      </c>
      <c r="N32" s="40"/>
      <c r="O32" s="40"/>
      <c r="P32" s="40"/>
      <c r="Q32" s="40"/>
      <c r="R32" s="222"/>
      <c r="S32" s="40"/>
      <c r="T32" s="40"/>
      <c r="U32" s="40"/>
      <c r="V32" s="40"/>
      <c r="W32" s="40"/>
      <c r="X32" s="212"/>
      <c r="Y32" s="212"/>
    </row>
    <row r="33" spans="1:25" ht="18" customHeight="1" thickBot="1">
      <c r="A33" s="40"/>
      <c r="B33" s="40">
        <f t="shared" si="4"/>
        <v>21</v>
      </c>
      <c r="C33" s="40" t="s">
        <v>66</v>
      </c>
      <c r="D33" s="40"/>
      <c r="E33" s="40"/>
      <c r="F33" s="220"/>
      <c r="G33" s="40"/>
      <c r="H33" s="213">
        <v>71</v>
      </c>
      <c r="I33" s="350">
        <f t="shared" si="2"/>
        <v>73.200999999999993</v>
      </c>
      <c r="J33" s="40">
        <f t="shared" si="3"/>
        <v>84</v>
      </c>
      <c r="K33" s="40" t="s">
        <v>116</v>
      </c>
      <c r="L33" s="213">
        <v>8125</v>
      </c>
      <c r="M33" s="350">
        <f t="shared" si="0"/>
        <v>8376.875</v>
      </c>
      <c r="N33" s="40"/>
      <c r="O33" s="40"/>
      <c r="P33" s="40"/>
      <c r="Q33" s="40"/>
      <c r="R33" s="222"/>
      <c r="S33" s="40"/>
      <c r="T33" s="40"/>
      <c r="U33" s="40"/>
      <c r="V33" s="40"/>
      <c r="W33" s="40"/>
      <c r="X33" s="212"/>
      <c r="Y33" s="212"/>
    </row>
    <row r="34" spans="1:25" ht="18" customHeight="1" thickBot="1">
      <c r="A34" s="40"/>
      <c r="B34" s="40">
        <f t="shared" si="4"/>
        <v>22</v>
      </c>
      <c r="C34" s="40" t="s">
        <v>68</v>
      </c>
      <c r="D34" s="40"/>
      <c r="E34" s="40"/>
      <c r="F34" s="220"/>
      <c r="G34" s="40"/>
      <c r="H34" s="213">
        <v>284</v>
      </c>
      <c r="I34" s="350">
        <f t="shared" si="2"/>
        <v>292.80399999999997</v>
      </c>
      <c r="J34" s="40">
        <f t="shared" si="3"/>
        <v>85</v>
      </c>
      <c r="K34" s="40" t="s">
        <v>118</v>
      </c>
      <c r="L34" s="213">
        <v>11250</v>
      </c>
      <c r="M34" s="350">
        <f t="shared" si="0"/>
        <v>11598.749999999998</v>
      </c>
      <c r="N34" s="40"/>
      <c r="O34" s="40"/>
      <c r="P34" s="40"/>
      <c r="Q34" s="40"/>
      <c r="R34" s="222"/>
      <c r="S34" s="40"/>
      <c r="T34" s="40"/>
      <c r="U34" s="40"/>
      <c r="V34" s="40"/>
      <c r="W34" s="40"/>
      <c r="X34" s="212"/>
      <c r="Y34" s="212"/>
    </row>
    <row r="35" spans="1:25" ht="18" customHeight="1" thickBot="1">
      <c r="A35" s="40"/>
      <c r="B35" s="40">
        <f t="shared" si="4"/>
        <v>23</v>
      </c>
      <c r="C35" s="40" t="s">
        <v>70</v>
      </c>
      <c r="D35" s="40"/>
      <c r="E35" s="40"/>
      <c r="F35" s="220"/>
      <c r="G35" s="40"/>
      <c r="H35" s="213">
        <v>180</v>
      </c>
      <c r="I35" s="350">
        <f t="shared" si="2"/>
        <v>185.57999999999998</v>
      </c>
      <c r="J35" s="40">
        <f t="shared" si="3"/>
        <v>86</v>
      </c>
      <c r="K35" s="40" t="s">
        <v>120</v>
      </c>
      <c r="L35" s="213">
        <v>625</v>
      </c>
      <c r="M35" s="350">
        <f t="shared" si="0"/>
        <v>644.375</v>
      </c>
      <c r="N35" s="40"/>
      <c r="O35" s="40"/>
      <c r="P35" s="40"/>
      <c r="Q35" s="40"/>
      <c r="R35" s="222"/>
      <c r="S35" s="40"/>
      <c r="T35" s="40"/>
      <c r="U35" s="40"/>
      <c r="V35" s="40"/>
      <c r="W35" s="40"/>
      <c r="X35" s="212"/>
      <c r="Y35" s="212"/>
    </row>
    <row r="36" spans="1:25" ht="18" customHeight="1" thickBot="1">
      <c r="A36" s="40"/>
      <c r="B36" s="40">
        <f t="shared" si="4"/>
        <v>24</v>
      </c>
      <c r="C36" s="40" t="s">
        <v>72</v>
      </c>
      <c r="D36" s="40"/>
      <c r="E36" s="40"/>
      <c r="F36" s="220"/>
      <c r="G36" s="40"/>
      <c r="H36" s="213">
        <v>11</v>
      </c>
      <c r="I36" s="350">
        <f t="shared" si="2"/>
        <v>11.340999999999999</v>
      </c>
      <c r="J36" s="40">
        <f t="shared" si="3"/>
        <v>87</v>
      </c>
      <c r="K36" s="40" t="s">
        <v>122</v>
      </c>
      <c r="L36" s="213">
        <v>4000</v>
      </c>
      <c r="M36" s="350">
        <f t="shared" si="0"/>
        <v>4124</v>
      </c>
      <c r="N36" s="40"/>
      <c r="O36" s="40"/>
      <c r="P36" s="40"/>
      <c r="Q36" s="40"/>
      <c r="R36" s="222"/>
      <c r="S36" s="40"/>
      <c r="T36" s="40"/>
      <c r="U36" s="40"/>
      <c r="V36" s="40"/>
      <c r="W36" s="40"/>
      <c r="X36" s="212"/>
      <c r="Y36" s="212"/>
    </row>
    <row r="37" spans="1:25" ht="18" customHeight="1" thickBot="1">
      <c r="A37" s="40"/>
      <c r="B37" s="40">
        <f t="shared" si="4"/>
        <v>25</v>
      </c>
      <c r="C37" s="40" t="s">
        <v>74</v>
      </c>
      <c r="D37" s="40"/>
      <c r="E37" s="40"/>
      <c r="F37" s="220"/>
      <c r="G37" s="40"/>
      <c r="H37" s="213">
        <v>70</v>
      </c>
      <c r="I37" s="350">
        <f t="shared" si="2"/>
        <v>72.169999999999987</v>
      </c>
      <c r="J37" s="40">
        <f t="shared" si="3"/>
        <v>88</v>
      </c>
      <c r="K37" s="40" t="s">
        <v>124</v>
      </c>
      <c r="L37" s="213">
        <v>4400</v>
      </c>
      <c r="M37" s="350">
        <f t="shared" si="0"/>
        <v>4536.3999999999996</v>
      </c>
      <c r="N37" s="40"/>
      <c r="O37" s="40"/>
      <c r="P37" s="40"/>
      <c r="Q37" s="40"/>
      <c r="R37" s="222"/>
      <c r="S37" s="40"/>
      <c r="T37" s="40"/>
      <c r="U37" s="40"/>
      <c r="V37" s="40"/>
      <c r="W37" s="40"/>
      <c r="X37" s="212"/>
      <c r="Y37" s="212"/>
    </row>
    <row r="38" spans="1:25" ht="18" customHeight="1" thickBot="1">
      <c r="A38" s="40"/>
      <c r="B38" s="40">
        <f t="shared" si="4"/>
        <v>26</v>
      </c>
      <c r="C38" s="40" t="s">
        <v>76</v>
      </c>
      <c r="D38" s="40"/>
      <c r="E38" s="40"/>
      <c r="F38" s="220"/>
      <c r="G38" s="40"/>
      <c r="H38" s="213">
        <v>1299</v>
      </c>
      <c r="I38" s="350">
        <f t="shared" si="2"/>
        <v>1339.2689999999998</v>
      </c>
      <c r="J38" s="220" t="s">
        <v>788</v>
      </c>
      <c r="K38" s="40" t="s">
        <v>126</v>
      </c>
      <c r="L38" s="213">
        <v>6100</v>
      </c>
      <c r="M38" s="350">
        <f t="shared" si="0"/>
        <v>6289.0999999999995</v>
      </c>
      <c r="N38" s="40"/>
      <c r="O38" s="40"/>
      <c r="P38" s="40"/>
      <c r="Q38" s="40"/>
      <c r="R38" s="222"/>
      <c r="S38" s="40"/>
      <c r="T38" s="40"/>
      <c r="U38" s="40"/>
      <c r="V38" s="40"/>
      <c r="W38" s="40"/>
      <c r="X38" s="212"/>
      <c r="Y38" s="212"/>
    </row>
    <row r="39" spans="1:25" ht="18" customHeight="1" thickBot="1">
      <c r="A39" s="40"/>
      <c r="B39" s="40">
        <f t="shared" si="4"/>
        <v>27</v>
      </c>
      <c r="C39" s="225" t="s">
        <v>79</v>
      </c>
      <c r="D39" s="40"/>
      <c r="E39" s="40"/>
      <c r="F39" s="220"/>
      <c r="G39" s="40"/>
      <c r="H39" s="213">
        <v>1800</v>
      </c>
      <c r="I39" s="350">
        <f t="shared" si="2"/>
        <v>1855.8</v>
      </c>
      <c r="J39" s="220"/>
      <c r="K39" s="40" t="s">
        <v>128</v>
      </c>
      <c r="L39" s="213">
        <v>8000</v>
      </c>
      <c r="M39" s="350">
        <f t="shared" si="0"/>
        <v>8248</v>
      </c>
      <c r="N39" s="40"/>
      <c r="O39" s="40"/>
      <c r="P39" s="40"/>
      <c r="Q39" s="40"/>
      <c r="R39" s="222"/>
      <c r="S39" s="40"/>
      <c r="T39" s="40"/>
      <c r="U39" s="40"/>
      <c r="V39" s="40"/>
      <c r="W39" s="40"/>
      <c r="X39" s="212"/>
      <c r="Y39" s="212"/>
    </row>
    <row r="40" spans="1:25" ht="18" customHeight="1" thickBot="1">
      <c r="A40" s="40"/>
      <c r="B40" s="40">
        <f t="shared" si="4"/>
        <v>28</v>
      </c>
      <c r="C40" s="225" t="s">
        <v>789</v>
      </c>
      <c r="D40" s="40"/>
      <c r="E40" s="40"/>
      <c r="F40" s="40"/>
      <c r="G40" s="40"/>
      <c r="H40" s="213">
        <v>1800</v>
      </c>
      <c r="I40" s="350">
        <f t="shared" si="2"/>
        <v>1855.8</v>
      </c>
      <c r="J40" s="220"/>
      <c r="K40" s="225" t="s">
        <v>130</v>
      </c>
      <c r="L40" s="213">
        <v>4075</v>
      </c>
      <c r="M40" s="350">
        <f t="shared" si="0"/>
        <v>4201.3249999999998</v>
      </c>
      <c r="N40" s="40"/>
      <c r="O40" s="40"/>
      <c r="P40" s="40"/>
      <c r="Q40" s="40"/>
      <c r="R40" s="222"/>
      <c r="S40" s="40"/>
      <c r="T40" s="40"/>
      <c r="U40" s="40"/>
      <c r="V40" s="40"/>
      <c r="W40" s="40"/>
      <c r="X40" s="212"/>
      <c r="Y40" s="212"/>
    </row>
    <row r="41" spans="1:25" ht="18" customHeight="1" thickBot="1">
      <c r="A41" s="40"/>
      <c r="B41" s="40">
        <f t="shared" si="4"/>
        <v>29</v>
      </c>
      <c r="C41" s="225" t="s">
        <v>83</v>
      </c>
      <c r="D41" s="40"/>
      <c r="E41" s="40"/>
      <c r="F41" s="40"/>
      <c r="G41" s="40"/>
      <c r="H41" s="213">
        <v>195</v>
      </c>
      <c r="I41" s="350">
        <f t="shared" si="2"/>
        <v>201.04499999999999</v>
      </c>
      <c r="J41" s="220" t="s">
        <v>216</v>
      </c>
      <c r="K41" s="225" t="s">
        <v>132</v>
      </c>
      <c r="L41" s="213">
        <v>7400</v>
      </c>
      <c r="M41" s="350">
        <f t="shared" si="0"/>
        <v>7629.4</v>
      </c>
      <c r="N41" s="40"/>
      <c r="O41" s="40"/>
      <c r="P41" s="40"/>
      <c r="Q41" s="40"/>
      <c r="R41" s="222"/>
      <c r="S41" s="40"/>
      <c r="T41" s="40"/>
      <c r="U41" s="40"/>
      <c r="V41" s="40"/>
      <c r="W41" s="40"/>
      <c r="X41" s="212"/>
      <c r="Y41" s="212"/>
    </row>
    <row r="42" spans="1:25" ht="18" customHeight="1" thickBot="1">
      <c r="A42" s="40"/>
      <c r="B42" s="40">
        <f t="shared" si="4"/>
        <v>30</v>
      </c>
      <c r="C42" s="225" t="s">
        <v>85</v>
      </c>
      <c r="D42" s="40"/>
      <c r="E42" s="40"/>
      <c r="F42" s="40"/>
      <c r="G42" s="40"/>
      <c r="H42" s="213">
        <v>907</v>
      </c>
      <c r="I42" s="350">
        <f t="shared" si="2"/>
        <v>935.11699999999996</v>
      </c>
      <c r="J42" s="40" t="e">
        <f>(#REF!+1)</f>
        <v>#REF!</v>
      </c>
      <c r="K42" s="225" t="s">
        <v>134</v>
      </c>
      <c r="L42" s="213" t="s">
        <v>9</v>
      </c>
      <c r="M42" s="350"/>
      <c r="N42" s="40"/>
      <c r="O42" s="40"/>
      <c r="P42" s="40"/>
      <c r="Q42" s="40"/>
      <c r="R42" s="222"/>
      <c r="S42" s="40"/>
      <c r="T42" s="40"/>
      <c r="U42" s="40"/>
      <c r="V42" s="40"/>
      <c r="W42" s="40"/>
      <c r="X42" s="212"/>
      <c r="Y42" s="212"/>
    </row>
    <row r="43" spans="1:25" ht="18" customHeight="1" thickBot="1">
      <c r="A43" s="40"/>
      <c r="B43" s="40">
        <f t="shared" si="4"/>
        <v>31</v>
      </c>
      <c r="C43" s="225" t="s">
        <v>87</v>
      </c>
      <c r="D43" s="40"/>
      <c r="E43" s="40"/>
      <c r="F43" s="40"/>
      <c r="G43" s="40"/>
      <c r="H43" s="213">
        <v>904</v>
      </c>
      <c r="I43" s="350">
        <f t="shared" si="2"/>
        <v>932.02399999999989</v>
      </c>
      <c r="J43" s="40">
        <v>95</v>
      </c>
      <c r="K43" s="40" t="s">
        <v>138</v>
      </c>
      <c r="L43" s="213">
        <v>7400</v>
      </c>
      <c r="M43" s="350">
        <f t="shared" si="0"/>
        <v>7629.4</v>
      </c>
      <c r="N43" s="40"/>
      <c r="O43" s="40"/>
      <c r="P43" s="40"/>
      <c r="Q43" s="40"/>
      <c r="R43" s="222"/>
      <c r="S43" s="40"/>
      <c r="T43" s="40"/>
      <c r="U43" s="40"/>
      <c r="V43" s="40"/>
      <c r="W43" s="40"/>
      <c r="X43" s="212"/>
      <c r="Y43" s="212"/>
    </row>
    <row r="44" spans="1:25" ht="18" customHeight="1" thickBot="1">
      <c r="A44" s="40"/>
      <c r="B44" s="40">
        <f t="shared" si="4"/>
        <v>32</v>
      </c>
      <c r="C44" s="225" t="s">
        <v>89</v>
      </c>
      <c r="D44" s="40"/>
      <c r="E44" s="40"/>
      <c r="F44" s="40"/>
      <c r="G44" s="40"/>
      <c r="H44" s="213">
        <v>1074</v>
      </c>
      <c r="I44" s="350">
        <f t="shared" si="2"/>
        <v>1107.2939999999999</v>
      </c>
      <c r="J44" s="40">
        <f t="shared" si="3"/>
        <v>96</v>
      </c>
      <c r="K44" s="40" t="s">
        <v>140</v>
      </c>
      <c r="L44" s="213" t="s">
        <v>9</v>
      </c>
      <c r="M44" s="350" t="e">
        <f t="shared" si="0"/>
        <v>#VALUE!</v>
      </c>
      <c r="N44" s="40"/>
      <c r="O44" s="40"/>
      <c r="P44" s="40"/>
      <c r="Q44" s="40"/>
      <c r="R44" s="222"/>
      <c r="S44" s="40"/>
      <c r="T44" s="40"/>
      <c r="U44" s="40"/>
      <c r="V44" s="40"/>
      <c r="W44" s="40"/>
      <c r="X44" s="212"/>
      <c r="Y44" s="212"/>
    </row>
    <row r="45" spans="1:25" ht="18" customHeight="1" thickBot="1">
      <c r="A45" s="40"/>
      <c r="B45" s="40">
        <f t="shared" si="4"/>
        <v>33</v>
      </c>
      <c r="C45" s="40" t="s">
        <v>91</v>
      </c>
      <c r="D45" s="40"/>
      <c r="E45" s="40"/>
      <c r="F45" s="40"/>
      <c r="G45" s="40"/>
      <c r="H45" s="213">
        <v>-544</v>
      </c>
      <c r="I45" s="350">
        <f t="shared" si="2"/>
        <v>-560.86399999999992</v>
      </c>
      <c r="J45" s="40">
        <f t="shared" si="3"/>
        <v>97</v>
      </c>
      <c r="K45" s="40" t="s">
        <v>142</v>
      </c>
      <c r="L45" s="213" t="s">
        <v>9</v>
      </c>
      <c r="M45" s="350"/>
      <c r="N45" s="40"/>
      <c r="O45" s="40"/>
      <c r="P45" s="40"/>
      <c r="Q45" s="40"/>
      <c r="R45" s="222"/>
      <c r="S45" s="40"/>
      <c r="T45" s="40"/>
      <c r="U45" s="40"/>
      <c r="V45" s="40"/>
      <c r="W45" s="40"/>
      <c r="X45" s="212"/>
      <c r="Y45" s="212"/>
    </row>
    <row r="46" spans="1:25" ht="18" customHeight="1" thickBot="1">
      <c r="A46" s="40"/>
      <c r="B46" s="40">
        <f t="shared" si="4"/>
        <v>34</v>
      </c>
      <c r="C46" s="40" t="s">
        <v>93</v>
      </c>
      <c r="D46" s="40"/>
      <c r="E46" s="40"/>
      <c r="F46" s="40"/>
      <c r="G46" s="40"/>
      <c r="H46" s="213">
        <v>-542</v>
      </c>
      <c r="I46" s="350">
        <f t="shared" si="2"/>
        <v>-558.80199999999991</v>
      </c>
      <c r="J46" s="40">
        <f t="shared" si="3"/>
        <v>98</v>
      </c>
      <c r="K46" s="225" t="s">
        <v>144</v>
      </c>
      <c r="L46" s="213">
        <v>5485</v>
      </c>
      <c r="M46" s="350">
        <f t="shared" si="0"/>
        <v>5655.0349999999999</v>
      </c>
      <c r="N46" s="40"/>
      <c r="O46" s="40"/>
      <c r="P46" s="40"/>
      <c r="Q46" s="40"/>
      <c r="R46" s="222"/>
      <c r="S46" s="40"/>
      <c r="T46" s="40"/>
      <c r="U46" s="40"/>
      <c r="V46" s="40"/>
      <c r="W46" s="40"/>
      <c r="X46" s="212"/>
      <c r="Y46" s="212"/>
    </row>
    <row r="47" spans="1:25" ht="18" customHeight="1" thickBot="1">
      <c r="A47" s="40"/>
      <c r="B47" s="40">
        <f t="shared" si="4"/>
        <v>35</v>
      </c>
      <c r="C47" s="40" t="s">
        <v>95</v>
      </c>
      <c r="D47" s="40"/>
      <c r="E47" s="40"/>
      <c r="F47" s="40"/>
      <c r="G47" s="40"/>
      <c r="H47" s="213">
        <v>1665</v>
      </c>
      <c r="I47" s="350">
        <f t="shared" si="2"/>
        <v>1716.6149999999998</v>
      </c>
      <c r="J47" s="40">
        <f t="shared" si="3"/>
        <v>99</v>
      </c>
      <c r="K47" s="228" t="s">
        <v>146</v>
      </c>
      <c r="L47" s="213">
        <v>7445</v>
      </c>
      <c r="M47" s="350">
        <f t="shared" si="0"/>
        <v>7675.7949999999992</v>
      </c>
      <c r="N47" s="40"/>
      <c r="O47" s="40"/>
      <c r="P47" s="40"/>
      <c r="Q47" s="40"/>
      <c r="R47" s="222"/>
      <c r="S47" s="40"/>
      <c r="T47" s="40"/>
      <c r="U47" s="40"/>
      <c r="V47" s="40"/>
      <c r="W47" s="40"/>
      <c r="X47" s="212"/>
      <c r="Y47" s="212"/>
    </row>
    <row r="48" spans="1:25" ht="18" customHeight="1" thickBot="1">
      <c r="A48" s="40"/>
      <c r="B48" s="40">
        <f t="shared" si="4"/>
        <v>36</v>
      </c>
      <c r="C48" s="40" t="s">
        <v>97</v>
      </c>
      <c r="D48" s="40"/>
      <c r="E48" s="40"/>
      <c r="F48" s="40"/>
      <c r="G48" s="40"/>
      <c r="H48" s="213">
        <v>2875</v>
      </c>
      <c r="I48" s="350">
        <f t="shared" si="2"/>
        <v>2964.1249999999995</v>
      </c>
      <c r="J48" s="40">
        <f>(J47+1)</f>
        <v>100</v>
      </c>
      <c r="K48" s="225" t="s">
        <v>148</v>
      </c>
      <c r="L48" s="213" t="s">
        <v>9</v>
      </c>
      <c r="M48" s="350"/>
      <c r="N48" s="40"/>
      <c r="O48" s="229"/>
      <c r="P48" s="40"/>
      <c r="Q48" s="40"/>
      <c r="R48" s="222"/>
      <c r="S48" s="225"/>
      <c r="T48" s="40"/>
      <c r="U48" s="40"/>
      <c r="V48" s="40"/>
      <c r="W48" s="40"/>
      <c r="X48" s="212"/>
      <c r="Y48" s="212"/>
    </row>
    <row r="49" spans="1:25" ht="18" customHeight="1" thickBot="1">
      <c r="A49" s="40"/>
      <c r="B49" s="40">
        <v>37</v>
      </c>
      <c r="C49" s="40" t="s">
        <v>103</v>
      </c>
      <c r="D49" s="40"/>
      <c r="E49" s="40"/>
      <c r="F49" s="40"/>
      <c r="G49" s="40"/>
      <c r="H49" s="213">
        <v>45</v>
      </c>
      <c r="I49" s="350">
        <f t="shared" si="2"/>
        <v>46.394999999999996</v>
      </c>
      <c r="J49" s="40">
        <f t="shared" si="3"/>
        <v>101</v>
      </c>
      <c r="K49" s="40" t="s">
        <v>150</v>
      </c>
      <c r="L49" s="213">
        <v>1050</v>
      </c>
      <c r="M49" s="350">
        <f t="shared" si="0"/>
        <v>1082.55</v>
      </c>
      <c r="N49" s="40"/>
      <c r="O49" s="229"/>
      <c r="P49" s="40"/>
      <c r="Q49" s="40"/>
      <c r="R49" s="222"/>
      <c r="S49" s="225"/>
      <c r="T49" s="40"/>
      <c r="U49" s="40"/>
      <c r="V49" s="40"/>
      <c r="W49" s="40"/>
      <c r="X49" s="212"/>
      <c r="Y49" s="212"/>
    </row>
    <row r="50" spans="1:25" ht="18" customHeight="1" thickBot="1">
      <c r="A50" s="40"/>
      <c r="B50" s="40">
        <f t="shared" si="4"/>
        <v>38</v>
      </c>
      <c r="C50" s="40" t="s">
        <v>105</v>
      </c>
      <c r="D50" s="40"/>
      <c r="E50" s="40"/>
      <c r="F50" s="40"/>
      <c r="G50" s="40"/>
      <c r="H50" s="213">
        <v>45</v>
      </c>
      <c r="I50" s="350">
        <f t="shared" si="2"/>
        <v>46.394999999999996</v>
      </c>
      <c r="J50" s="40">
        <f t="shared" si="3"/>
        <v>102</v>
      </c>
      <c r="K50" s="40" t="s">
        <v>152</v>
      </c>
      <c r="L50" s="213">
        <v>795</v>
      </c>
      <c r="M50" s="350">
        <f t="shared" si="0"/>
        <v>819.64499999999998</v>
      </c>
      <c r="N50" s="229"/>
      <c r="O50" s="229"/>
      <c r="P50" s="40"/>
      <c r="Q50" s="40"/>
      <c r="R50" s="222"/>
      <c r="S50" s="225"/>
      <c r="T50" s="40"/>
      <c r="U50" s="40"/>
      <c r="V50" s="40"/>
      <c r="W50" s="40"/>
      <c r="X50" s="212"/>
      <c r="Y50" s="212"/>
    </row>
    <row r="51" spans="1:25" ht="18" customHeight="1" thickBot="1">
      <c r="A51" s="40"/>
      <c r="B51" s="40">
        <f t="shared" si="4"/>
        <v>39</v>
      </c>
      <c r="C51" s="40" t="s">
        <v>107</v>
      </c>
      <c r="D51" s="40"/>
      <c r="E51" s="40"/>
      <c r="F51" s="40"/>
      <c r="G51" s="40"/>
      <c r="H51" s="213">
        <v>-60</v>
      </c>
      <c r="I51" s="350">
        <f t="shared" si="2"/>
        <v>-61.859999999999992</v>
      </c>
      <c r="J51" s="40">
        <f t="shared" si="3"/>
        <v>103</v>
      </c>
      <c r="K51" s="40" t="s">
        <v>154</v>
      </c>
      <c r="L51" s="213">
        <v>1090</v>
      </c>
      <c r="M51" s="350">
        <f t="shared" si="0"/>
        <v>1123.79</v>
      </c>
      <c r="N51" s="229"/>
      <c r="O51" s="40"/>
      <c r="P51" s="40"/>
      <c r="Q51" s="40"/>
      <c r="R51" s="222"/>
      <c r="S51" s="225"/>
      <c r="T51" s="40"/>
      <c r="U51" s="40"/>
      <c r="V51" s="40"/>
      <c r="W51" s="40"/>
      <c r="X51" s="212"/>
      <c r="Y51" s="212"/>
    </row>
    <row r="52" spans="1:25" ht="18" customHeight="1" thickBot="1">
      <c r="A52" s="40"/>
      <c r="B52" s="40">
        <f t="shared" si="4"/>
        <v>40</v>
      </c>
      <c r="C52" s="40" t="s">
        <v>109</v>
      </c>
      <c r="D52" s="40"/>
      <c r="E52" s="40"/>
      <c r="F52" s="40"/>
      <c r="G52" s="40"/>
      <c r="H52" s="213">
        <v>850</v>
      </c>
      <c r="I52" s="350">
        <f t="shared" si="2"/>
        <v>876.34999999999991</v>
      </c>
      <c r="J52" s="40">
        <f t="shared" si="3"/>
        <v>104</v>
      </c>
      <c r="K52" s="40" t="s">
        <v>156</v>
      </c>
      <c r="L52" s="213">
        <v>350</v>
      </c>
      <c r="M52" s="350">
        <f t="shared" si="0"/>
        <v>360.84999999999997</v>
      </c>
      <c r="N52" s="229"/>
      <c r="O52" s="40"/>
      <c r="P52" s="40"/>
      <c r="Q52" s="40"/>
      <c r="R52" s="222"/>
      <c r="S52" s="225"/>
      <c r="T52" s="40"/>
      <c r="U52" s="40"/>
      <c r="V52" s="40"/>
      <c r="W52" s="40"/>
      <c r="X52" s="212"/>
      <c r="Y52" s="212"/>
    </row>
    <row r="53" spans="1:25" ht="18" customHeight="1" thickBot="1">
      <c r="A53" s="40"/>
      <c r="B53" s="40">
        <f t="shared" si="4"/>
        <v>41</v>
      </c>
      <c r="C53" s="40" t="s">
        <v>111</v>
      </c>
      <c r="D53" s="40"/>
      <c r="E53" s="40"/>
      <c r="F53" s="40"/>
      <c r="G53" s="40"/>
      <c r="H53" s="213" t="s">
        <v>9</v>
      </c>
      <c r="I53" s="351"/>
      <c r="J53" s="40">
        <f>(J52+1)</f>
        <v>105</v>
      </c>
      <c r="K53" s="40" t="s">
        <v>157</v>
      </c>
      <c r="L53" s="213">
        <v>440</v>
      </c>
      <c r="M53" s="350">
        <f t="shared" si="0"/>
        <v>453.64</v>
      </c>
      <c r="N53" s="220"/>
      <c r="O53" s="40"/>
      <c r="P53" s="40"/>
      <c r="Q53" s="40"/>
      <c r="R53" s="222"/>
      <c r="S53" s="225"/>
      <c r="T53" s="40"/>
      <c r="U53" s="40"/>
      <c r="V53" s="40"/>
      <c r="W53" s="40"/>
      <c r="X53" s="212"/>
      <c r="Y53" s="212"/>
    </row>
    <row r="54" spans="1:25" ht="18" customHeight="1" thickBot="1">
      <c r="A54" s="40"/>
      <c r="B54" s="40">
        <f t="shared" si="4"/>
        <v>42</v>
      </c>
      <c r="C54" s="225" t="s">
        <v>113</v>
      </c>
      <c r="D54" s="40"/>
      <c r="E54" s="40"/>
      <c r="F54" s="40"/>
      <c r="G54" s="40"/>
      <c r="H54" s="230">
        <v>310</v>
      </c>
      <c r="I54" s="350">
        <f t="shared" si="2"/>
        <v>319.60999999999996</v>
      </c>
      <c r="J54" s="40">
        <f t="shared" si="3"/>
        <v>106</v>
      </c>
      <c r="K54" s="40" t="s">
        <v>158</v>
      </c>
      <c r="L54" s="213">
        <v>1156</v>
      </c>
      <c r="M54" s="350">
        <f t="shared" si="0"/>
        <v>1191.836</v>
      </c>
      <c r="N54" s="40"/>
      <c r="O54" s="40"/>
      <c r="P54" s="40"/>
      <c r="Q54" s="40"/>
      <c r="R54" s="222"/>
      <c r="S54" s="225"/>
      <c r="T54" s="40"/>
      <c r="U54" s="40"/>
      <c r="V54" s="40"/>
      <c r="W54" s="40"/>
      <c r="X54" s="212"/>
      <c r="Y54" s="212"/>
    </row>
    <row r="55" spans="1:25" ht="18" customHeight="1" thickBot="1">
      <c r="A55" s="40"/>
      <c r="B55" s="40">
        <f t="shared" si="4"/>
        <v>43</v>
      </c>
      <c r="C55" s="225" t="s">
        <v>115</v>
      </c>
      <c r="D55" s="40"/>
      <c r="E55" s="40"/>
      <c r="F55" s="40"/>
      <c r="G55" s="40"/>
      <c r="H55" s="213" t="s">
        <v>9</v>
      </c>
      <c r="I55" s="351"/>
      <c r="J55" s="40">
        <f t="shared" si="3"/>
        <v>107</v>
      </c>
      <c r="K55" s="40" t="s">
        <v>160</v>
      </c>
      <c r="L55" s="213">
        <v>1593</v>
      </c>
      <c r="M55" s="350">
        <f t="shared" si="0"/>
        <v>1642.3829999999998</v>
      </c>
      <c r="N55" s="40"/>
      <c r="O55" s="40"/>
      <c r="P55" s="40"/>
      <c r="Q55" s="40"/>
      <c r="R55" s="222"/>
      <c r="S55" s="225"/>
      <c r="T55" s="40"/>
      <c r="U55" s="40"/>
      <c r="V55" s="40"/>
      <c r="W55" s="40"/>
      <c r="X55" s="212"/>
      <c r="Y55" s="212"/>
    </row>
    <row r="56" spans="1:25" ht="18" customHeight="1" thickBot="1">
      <c r="A56" s="40"/>
      <c r="B56" s="40">
        <f t="shared" si="4"/>
        <v>44</v>
      </c>
      <c r="C56" s="225" t="s">
        <v>220</v>
      </c>
      <c r="D56" s="40"/>
      <c r="E56" s="40"/>
      <c r="F56" s="40"/>
      <c r="G56" s="40"/>
      <c r="H56" s="213">
        <v>1419</v>
      </c>
      <c r="I56" s="350">
        <f t="shared" si="2"/>
        <v>1462.9889999999998</v>
      </c>
      <c r="J56" s="40">
        <f t="shared" si="3"/>
        <v>108</v>
      </c>
      <c r="K56" s="40" t="s">
        <v>161</v>
      </c>
      <c r="L56" s="213">
        <v>1817</v>
      </c>
      <c r="M56" s="350">
        <f t="shared" si="0"/>
        <v>1873.3269999999998</v>
      </c>
      <c r="N56" s="40"/>
      <c r="O56" s="40"/>
      <c r="P56" s="40"/>
      <c r="Q56" s="40"/>
      <c r="R56" s="222"/>
      <c r="S56" s="225"/>
      <c r="T56" s="40"/>
      <c r="U56" s="40"/>
      <c r="V56" s="40"/>
      <c r="W56" s="40"/>
      <c r="X56" s="212"/>
      <c r="Y56" s="212"/>
    </row>
    <row r="57" spans="1:25" ht="18" customHeight="1" thickBot="1">
      <c r="A57" s="40"/>
      <c r="B57" s="40">
        <f t="shared" si="4"/>
        <v>45</v>
      </c>
      <c r="C57" s="40" t="s">
        <v>119</v>
      </c>
      <c r="D57" s="40"/>
      <c r="E57" s="40"/>
      <c r="F57" s="40"/>
      <c r="G57" s="40"/>
      <c r="H57" s="213">
        <v>535</v>
      </c>
      <c r="I57" s="350">
        <f t="shared" si="2"/>
        <v>551.58499999999992</v>
      </c>
      <c r="J57" s="40">
        <f t="shared" si="3"/>
        <v>109</v>
      </c>
      <c r="K57" s="40" t="s">
        <v>162</v>
      </c>
      <c r="L57" s="213">
        <v>2070</v>
      </c>
      <c r="M57" s="350">
        <f t="shared" si="0"/>
        <v>2134.1699999999996</v>
      </c>
      <c r="N57" s="40"/>
      <c r="O57" s="40"/>
      <c r="P57" s="40"/>
      <c r="Q57" s="40"/>
      <c r="R57" s="222"/>
      <c r="S57" s="225"/>
      <c r="T57" s="40"/>
      <c r="U57" s="40"/>
      <c r="V57" s="40"/>
      <c r="W57" s="40"/>
      <c r="X57" s="212"/>
      <c r="Y57" s="212"/>
    </row>
    <row r="58" spans="1:25" ht="18" customHeight="1" thickBot="1">
      <c r="A58" s="40"/>
      <c r="B58" s="40">
        <f t="shared" si="4"/>
        <v>46</v>
      </c>
      <c r="C58" s="40" t="s">
        <v>121</v>
      </c>
      <c r="D58" s="40"/>
      <c r="E58" s="40"/>
      <c r="F58" s="40"/>
      <c r="G58" s="40"/>
      <c r="H58" s="213">
        <v>33</v>
      </c>
      <c r="I58" s="350">
        <f t="shared" si="2"/>
        <v>34.022999999999996</v>
      </c>
      <c r="J58" s="40">
        <v>127</v>
      </c>
      <c r="K58" s="40" t="s">
        <v>164</v>
      </c>
      <c r="L58" s="213">
        <v>1820</v>
      </c>
      <c r="M58" s="350">
        <f t="shared" si="0"/>
        <v>1876.4199999999998</v>
      </c>
      <c r="N58" s="40"/>
      <c r="O58" s="40"/>
      <c r="P58" s="40"/>
      <c r="Q58" s="40"/>
      <c r="R58" s="222"/>
      <c r="S58" s="225"/>
      <c r="T58" s="40"/>
      <c r="U58" s="40"/>
      <c r="V58" s="40"/>
      <c r="W58" s="40"/>
      <c r="X58" s="212"/>
      <c r="Y58" s="212"/>
    </row>
    <row r="59" spans="1:25" ht="18" customHeight="1" thickBot="1">
      <c r="A59" s="40"/>
      <c r="B59" s="40">
        <f t="shared" si="4"/>
        <v>47</v>
      </c>
      <c r="C59" s="40" t="s">
        <v>123</v>
      </c>
      <c r="D59" s="40"/>
      <c r="E59" s="40"/>
      <c r="F59" s="40"/>
      <c r="G59" s="40"/>
      <c r="H59" s="213">
        <v>594</v>
      </c>
      <c r="I59" s="350">
        <f t="shared" si="2"/>
        <v>612.41399999999999</v>
      </c>
      <c r="J59" s="40">
        <v>128</v>
      </c>
      <c r="K59" s="40" t="s">
        <v>222</v>
      </c>
      <c r="L59" s="213">
        <v>300</v>
      </c>
      <c r="M59" s="350">
        <f t="shared" si="0"/>
        <v>309.29999999999995</v>
      </c>
      <c r="N59" s="40"/>
      <c r="O59" s="40"/>
      <c r="P59" s="40"/>
      <c r="Q59" s="40"/>
      <c r="R59" s="222"/>
      <c r="S59" s="225"/>
      <c r="T59" s="40"/>
      <c r="U59" s="40"/>
      <c r="V59" s="40"/>
      <c r="W59" s="40"/>
      <c r="X59" s="212"/>
      <c r="Y59" s="212"/>
    </row>
    <row r="60" spans="1:25" ht="18" customHeight="1" thickBot="1">
      <c r="A60" s="40"/>
      <c r="B60" s="40">
        <f t="shared" si="4"/>
        <v>48</v>
      </c>
      <c r="C60" s="40" t="s">
        <v>125</v>
      </c>
      <c r="D60" s="40"/>
      <c r="E60" s="40"/>
      <c r="F60" s="40"/>
      <c r="G60" s="40"/>
      <c r="H60" s="213">
        <v>975</v>
      </c>
      <c r="I60" s="350">
        <f t="shared" si="2"/>
        <v>1005.2249999999999</v>
      </c>
      <c r="J60" s="40">
        <v>129</v>
      </c>
      <c r="K60" s="40" t="s">
        <v>166</v>
      </c>
      <c r="L60" s="213">
        <v>1069</v>
      </c>
      <c r="M60" s="350">
        <f t="shared" si="0"/>
        <v>1102.1389999999999</v>
      </c>
      <c r="N60" s="40"/>
      <c r="O60" s="40"/>
      <c r="P60" s="40"/>
      <c r="Q60" s="40"/>
      <c r="R60" s="222"/>
      <c r="S60" s="225"/>
      <c r="T60" s="40"/>
      <c r="U60" s="40"/>
      <c r="V60" s="40"/>
      <c r="W60" s="40"/>
      <c r="X60" s="212"/>
      <c r="Y60" s="212"/>
    </row>
    <row r="61" spans="1:25" ht="18" customHeight="1" thickBot="1">
      <c r="A61" s="40"/>
      <c r="B61" s="40">
        <f t="shared" si="4"/>
        <v>49</v>
      </c>
      <c r="C61" s="40" t="s">
        <v>127</v>
      </c>
      <c r="D61" s="40"/>
      <c r="E61" s="40"/>
      <c r="F61" s="40"/>
      <c r="G61" s="40"/>
      <c r="H61" s="213" t="s">
        <v>9</v>
      </c>
      <c r="I61" s="220"/>
      <c r="J61" s="40">
        <v>130</v>
      </c>
      <c r="K61" s="40" t="s">
        <v>167</v>
      </c>
      <c r="L61" s="213" t="s">
        <v>9</v>
      </c>
      <c r="M61" s="350"/>
      <c r="N61" s="40"/>
      <c r="O61" s="40"/>
      <c r="P61" s="40"/>
      <c r="Q61" s="40"/>
      <c r="R61" s="222"/>
      <c r="S61" s="225"/>
      <c r="T61" s="40"/>
      <c r="U61" s="40"/>
      <c r="V61" s="40"/>
      <c r="W61" s="40"/>
      <c r="X61" s="212"/>
      <c r="Y61" s="212"/>
    </row>
    <row r="62" spans="1:25" ht="18" customHeight="1" thickBot="1">
      <c r="A62" s="40"/>
      <c r="B62" s="40">
        <v>52</v>
      </c>
      <c r="C62" s="40" t="s">
        <v>790</v>
      </c>
      <c r="D62" s="220"/>
      <c r="E62" s="40"/>
      <c r="F62" s="40"/>
      <c r="G62" s="40"/>
      <c r="H62" s="213" t="s">
        <v>9</v>
      </c>
      <c r="I62" s="220"/>
      <c r="J62" s="40">
        <v>131</v>
      </c>
      <c r="K62" s="40" t="s">
        <v>168</v>
      </c>
      <c r="L62" s="213">
        <v>175</v>
      </c>
      <c r="M62" s="350">
        <f t="shared" si="0"/>
        <v>180.42499999999998</v>
      </c>
      <c r="N62" s="40"/>
      <c r="O62" s="40"/>
      <c r="P62" s="40"/>
      <c r="Q62" s="40"/>
      <c r="R62" s="222"/>
      <c r="S62" s="225"/>
      <c r="T62" s="40"/>
      <c r="U62" s="40"/>
      <c r="V62" s="40"/>
      <c r="W62" s="40"/>
      <c r="X62" s="212"/>
      <c r="Y62" s="212"/>
    </row>
    <row r="63" spans="1:25" ht="18" customHeight="1" thickBot="1">
      <c r="A63" s="40"/>
      <c r="B63" s="40">
        <f t="shared" ref="B63" si="6">B62+1</f>
        <v>53</v>
      </c>
      <c r="C63" s="40" t="s">
        <v>106</v>
      </c>
      <c r="D63" s="40"/>
      <c r="E63" s="40"/>
      <c r="F63" s="40"/>
      <c r="G63" s="40"/>
      <c r="H63" s="213" t="s">
        <v>9</v>
      </c>
      <c r="I63" s="223"/>
      <c r="J63" s="40"/>
      <c r="K63" s="40"/>
      <c r="L63" s="222"/>
      <c r="M63" s="40"/>
      <c r="N63" s="40"/>
      <c r="O63" s="40"/>
      <c r="P63" s="40"/>
      <c r="Q63" s="40"/>
      <c r="R63" s="222"/>
      <c r="S63" s="40"/>
      <c r="T63" s="40"/>
      <c r="U63" s="40"/>
      <c r="V63" s="40"/>
      <c r="W63" s="40"/>
      <c r="X63" s="212"/>
      <c r="Y63" s="212"/>
    </row>
    <row r="64" spans="1:25" ht="18" customHeight="1">
      <c r="A64" s="40"/>
      <c r="B64" s="40"/>
      <c r="C64" s="40"/>
      <c r="D64" s="40"/>
      <c r="E64" s="40"/>
      <c r="F64" s="40"/>
      <c r="G64" s="40"/>
      <c r="H64" s="374"/>
      <c r="I64" s="220"/>
      <c r="J64" s="40"/>
      <c r="K64" s="40"/>
      <c r="L64" s="222"/>
      <c r="M64" s="40"/>
      <c r="N64" s="40"/>
      <c r="O64" s="40"/>
      <c r="P64" s="40"/>
      <c r="Q64" s="40"/>
      <c r="R64" s="222"/>
      <c r="S64" s="40"/>
      <c r="T64" s="40"/>
      <c r="U64" s="40"/>
      <c r="V64" s="40"/>
      <c r="W64" s="40"/>
      <c r="X64" s="212"/>
      <c r="Y64" s="212"/>
    </row>
    <row r="65" spans="1:25" ht="18" customHeight="1">
      <c r="A65" s="40"/>
      <c r="B65" s="40"/>
      <c r="C65" s="40"/>
      <c r="D65" s="40"/>
      <c r="E65" s="40"/>
      <c r="F65" s="40"/>
      <c r="G65" s="40"/>
      <c r="H65" s="374"/>
      <c r="I65" s="220"/>
      <c r="J65" s="220" t="s">
        <v>810</v>
      </c>
      <c r="K65" s="222"/>
      <c r="L65" s="222"/>
      <c r="M65" s="40"/>
      <c r="N65" s="40"/>
      <c r="O65" s="40"/>
      <c r="P65" s="40"/>
      <c r="Q65" s="40"/>
      <c r="R65" s="222"/>
      <c r="S65" s="40"/>
      <c r="T65" s="40"/>
      <c r="U65" s="40"/>
      <c r="V65" s="40"/>
      <c r="W65" s="40"/>
      <c r="X65" s="212"/>
      <c r="Y65" s="212"/>
    </row>
    <row r="66" spans="1:25" ht="18" customHeight="1">
      <c r="A66" s="40"/>
      <c r="B66" s="40"/>
      <c r="C66" s="40"/>
      <c r="D66" s="40"/>
      <c r="E66" s="40"/>
      <c r="F66" s="40"/>
      <c r="G66" s="40"/>
      <c r="H66" s="374"/>
      <c r="I66" s="220"/>
      <c r="J66" s="220" t="s">
        <v>794</v>
      </c>
      <c r="K66" s="222"/>
      <c r="L66" s="222"/>
      <c r="M66" s="40"/>
      <c r="N66" s="40"/>
      <c r="O66" s="40"/>
      <c r="P66" s="40"/>
      <c r="Q66" s="40"/>
      <c r="R66" s="222"/>
      <c r="S66" s="40"/>
      <c r="T66" s="40"/>
      <c r="U66" s="40"/>
      <c r="V66" s="40"/>
      <c r="W66" s="40"/>
      <c r="X66" s="212"/>
      <c r="Y66" s="212"/>
    </row>
    <row r="67" spans="1:25" ht="18" customHeight="1">
      <c r="A67" s="40"/>
      <c r="B67" s="40"/>
      <c r="C67" s="40"/>
      <c r="D67" s="40"/>
      <c r="E67" s="40"/>
      <c r="F67" s="40"/>
      <c r="G67" s="40"/>
      <c r="H67" s="374"/>
      <c r="I67" s="220"/>
      <c r="J67" s="220" t="s">
        <v>793</v>
      </c>
      <c r="K67" s="222"/>
      <c r="L67" s="222"/>
      <c r="M67" s="40"/>
      <c r="N67" s="40"/>
      <c r="O67" s="40"/>
      <c r="P67" s="40"/>
      <c r="Q67" s="40"/>
      <c r="R67" s="222"/>
      <c r="S67" s="40"/>
      <c r="T67" s="40"/>
      <c r="U67" s="40"/>
      <c r="V67" s="40"/>
      <c r="W67" s="40"/>
      <c r="X67" s="212"/>
      <c r="Y67" s="212"/>
    </row>
    <row r="68" spans="1:25" ht="18" customHeight="1">
      <c r="A68" s="40"/>
      <c r="B68" s="40"/>
      <c r="C68" s="40"/>
      <c r="D68" s="40"/>
      <c r="E68" s="40"/>
      <c r="F68" s="40"/>
      <c r="G68" s="40"/>
      <c r="H68" s="222"/>
      <c r="I68" s="40"/>
      <c r="J68" s="220" t="s">
        <v>795</v>
      </c>
      <c r="K68" s="222">
        <f>D68-2750</f>
        <v>-2750</v>
      </c>
      <c r="L68" s="222"/>
      <c r="M68" s="40"/>
      <c r="N68" s="40"/>
      <c r="O68" s="40"/>
      <c r="P68" s="40"/>
      <c r="Q68" s="40"/>
      <c r="R68" s="222"/>
      <c r="S68" s="40"/>
      <c r="T68" s="40"/>
      <c r="U68" s="40"/>
      <c r="V68" s="40"/>
      <c r="W68" s="40"/>
      <c r="X68" s="212"/>
      <c r="Y68" s="212"/>
    </row>
    <row r="69" spans="1:25" ht="18" customHeight="1">
      <c r="A69" s="40"/>
      <c r="B69" s="384" t="s">
        <v>0</v>
      </c>
      <c r="C69" s="384"/>
      <c r="D69" s="384"/>
      <c r="E69" s="384"/>
      <c r="F69" s="40"/>
      <c r="G69" s="231"/>
      <c r="H69" s="40"/>
      <c r="I69" s="40"/>
      <c r="J69" s="40"/>
      <c r="K69" s="222"/>
      <c r="L69" s="40"/>
      <c r="M69" s="40"/>
      <c r="N69" s="40"/>
      <c r="O69" s="40"/>
      <c r="P69" s="40"/>
      <c r="Q69" s="231"/>
      <c r="R69" s="40"/>
      <c r="S69" s="40"/>
      <c r="T69" s="40"/>
      <c r="U69" s="40"/>
      <c r="V69" s="40"/>
      <c r="W69" s="40"/>
      <c r="X69" s="212"/>
      <c r="Y69" s="212"/>
    </row>
    <row r="70" spans="1:25" ht="18" customHeight="1">
      <c r="A70" s="40"/>
      <c r="B70" s="220" t="s">
        <v>758</v>
      </c>
      <c r="C70" s="40"/>
      <c r="D70" s="40"/>
      <c r="E70" s="40"/>
      <c r="F70" s="40"/>
      <c r="G70" s="221" t="s">
        <v>811</v>
      </c>
      <c r="H70" s="368" t="s">
        <v>1023</v>
      </c>
      <c r="I70" s="40"/>
      <c r="J70" s="220"/>
      <c r="K70" s="222"/>
      <c r="L70" s="40"/>
      <c r="M70" s="40"/>
      <c r="N70" s="40"/>
      <c r="O70" s="40"/>
      <c r="P70" s="40"/>
      <c r="Q70" s="231"/>
      <c r="R70" s="40"/>
      <c r="S70" s="40"/>
      <c r="T70" s="40"/>
      <c r="U70" s="40"/>
      <c r="V70" s="40"/>
      <c r="W70" s="40"/>
      <c r="X70" s="212"/>
    </row>
    <row r="71" spans="1:25" ht="18" customHeight="1">
      <c r="A71" s="40"/>
      <c r="B71" s="220" t="s">
        <v>0</v>
      </c>
      <c r="C71" s="40"/>
      <c r="D71" s="40"/>
      <c r="E71" s="40"/>
      <c r="F71" s="40"/>
      <c r="G71" s="221"/>
      <c r="H71" s="40"/>
      <c r="I71" s="40"/>
      <c r="J71" s="220"/>
      <c r="K71" s="222"/>
      <c r="L71" s="40"/>
      <c r="M71" s="40"/>
      <c r="N71" s="40"/>
      <c r="O71" s="40"/>
      <c r="P71" s="40"/>
      <c r="Q71" s="231"/>
      <c r="R71" s="40"/>
      <c r="S71" s="40"/>
      <c r="T71" s="40"/>
      <c r="U71" s="40"/>
      <c r="V71" s="40"/>
      <c r="W71" s="40"/>
      <c r="X71" s="212"/>
    </row>
    <row r="72" spans="1:25" ht="18" customHeight="1">
      <c r="A72" s="40"/>
      <c r="B72" s="220"/>
      <c r="C72" s="40"/>
      <c r="D72" s="40"/>
      <c r="E72" s="40"/>
      <c r="F72" s="40"/>
      <c r="G72" s="231" t="s">
        <v>761</v>
      </c>
      <c r="H72" s="40"/>
      <c r="I72" s="40"/>
      <c r="J72" s="220"/>
      <c r="K72" s="222"/>
      <c r="L72" s="40"/>
      <c r="M72" s="40"/>
      <c r="N72" s="40"/>
      <c r="O72" s="40"/>
      <c r="P72" s="40"/>
      <c r="Q72" s="231"/>
      <c r="R72" s="40"/>
      <c r="S72" s="40"/>
      <c r="T72" s="40"/>
      <c r="U72" s="40"/>
      <c r="V72" s="40"/>
      <c r="W72" s="40"/>
      <c r="X72" s="212"/>
    </row>
    <row r="73" spans="1:25" ht="18" customHeight="1" thickBot="1">
      <c r="A73" s="40"/>
      <c r="B73" s="220" t="s">
        <v>759</v>
      </c>
      <c r="C73" s="220" t="s">
        <v>760</v>
      </c>
      <c r="D73" s="383">
        <f>314370-2750</f>
        <v>311620</v>
      </c>
      <c r="E73" s="383"/>
      <c r="F73" s="350">
        <f>D73*1.038</f>
        <v>323461.56</v>
      </c>
      <c r="G73" s="221" t="s">
        <v>762</v>
      </c>
      <c r="H73" s="223" t="s">
        <v>9</v>
      </c>
      <c r="I73" s="223"/>
      <c r="J73" s="220"/>
      <c r="K73" s="222">
        <f>D73-2750</f>
        <v>308870</v>
      </c>
      <c r="L73" s="350">
        <f>K73*1.038</f>
        <v>320607.06</v>
      </c>
      <c r="M73" s="40"/>
      <c r="N73" s="40"/>
      <c r="O73" s="40"/>
      <c r="P73" s="40"/>
      <c r="Q73" s="231"/>
      <c r="R73" s="40"/>
      <c r="S73" s="40"/>
      <c r="T73" s="40"/>
      <c r="U73" s="40"/>
      <c r="V73" s="40"/>
      <c r="W73" s="40"/>
      <c r="X73" s="212"/>
    </row>
    <row r="74" spans="1:25" ht="18" customHeight="1">
      <c r="A74" s="40"/>
      <c r="B74" s="220"/>
      <c r="C74" s="220"/>
      <c r="D74" s="40"/>
      <c r="E74" s="40"/>
      <c r="F74" s="40"/>
      <c r="G74" s="221"/>
      <c r="H74" s="40"/>
      <c r="I74" s="40"/>
      <c r="J74" s="40"/>
      <c r="K74" s="222"/>
      <c r="L74" s="40"/>
      <c r="M74" s="40"/>
      <c r="N74" s="40"/>
      <c r="O74" s="40"/>
      <c r="P74" s="40"/>
      <c r="Q74" s="231"/>
      <c r="R74" s="40"/>
      <c r="S74" s="40"/>
      <c r="T74" s="40"/>
      <c r="U74" s="40"/>
      <c r="V74" s="40"/>
      <c r="W74" s="40"/>
      <c r="X74" s="212"/>
    </row>
    <row r="75" spans="1:25" ht="18" customHeight="1" thickBot="1">
      <c r="A75" s="40"/>
      <c r="B75" s="220" t="s">
        <v>759</v>
      </c>
      <c r="C75" s="220" t="s">
        <v>763</v>
      </c>
      <c r="D75" s="383">
        <f>315740-2750</f>
        <v>312990</v>
      </c>
      <c r="E75" s="383"/>
      <c r="F75" s="350">
        <f>D75*1.038</f>
        <v>324883.62</v>
      </c>
      <c r="G75" s="221" t="s">
        <v>764</v>
      </c>
      <c r="H75" s="223" t="s">
        <v>9</v>
      </c>
      <c r="I75" s="223"/>
      <c r="J75" s="40"/>
      <c r="K75" s="222">
        <f>D75-2750</f>
        <v>310240</v>
      </c>
      <c r="L75" s="350">
        <f>K75*1.038</f>
        <v>322029.12</v>
      </c>
      <c r="M75" s="40"/>
      <c r="N75" s="40"/>
      <c r="O75" s="40"/>
      <c r="P75" s="40"/>
      <c r="Q75" s="231"/>
      <c r="R75" s="40"/>
      <c r="S75" s="40"/>
      <c r="T75" s="40"/>
      <c r="U75" s="40"/>
      <c r="V75" s="40"/>
      <c r="W75" s="40"/>
      <c r="X75" s="212"/>
    </row>
    <row r="76" spans="1:25" ht="18" customHeight="1">
      <c r="A76" s="40"/>
      <c r="B76" s="40"/>
      <c r="C76" s="40"/>
      <c r="D76" s="40"/>
      <c r="E76" s="40"/>
      <c r="F76" s="40"/>
      <c r="G76" s="231"/>
      <c r="H76" s="40"/>
      <c r="I76" s="40"/>
      <c r="J76" s="40"/>
      <c r="K76" s="222"/>
      <c r="L76" s="40"/>
      <c r="M76" s="40"/>
      <c r="N76" s="40"/>
      <c r="O76" s="40"/>
      <c r="P76" s="40"/>
      <c r="Q76" s="231"/>
      <c r="R76" s="40"/>
      <c r="S76" s="40"/>
      <c r="T76" s="40"/>
      <c r="U76" s="40"/>
      <c r="V76" s="40"/>
      <c r="W76" s="40"/>
      <c r="X76" s="212"/>
    </row>
    <row r="77" spans="1:25" ht="18" customHeight="1">
      <c r="A77" s="40"/>
      <c r="B77" s="40"/>
      <c r="C77" s="40"/>
      <c r="D77" s="40"/>
      <c r="E77" s="40"/>
      <c r="F77" s="40"/>
      <c r="G77" s="231"/>
      <c r="H77" s="40"/>
      <c r="I77" s="40"/>
      <c r="J77" s="40"/>
      <c r="K77" s="222"/>
      <c r="L77" s="40"/>
      <c r="M77" s="40"/>
      <c r="N77" s="40"/>
      <c r="O77" s="40"/>
      <c r="P77" s="40"/>
      <c r="Q77" s="231"/>
      <c r="R77" s="40"/>
      <c r="S77" s="40"/>
      <c r="T77" s="40"/>
      <c r="U77" s="40"/>
      <c r="V77" s="40"/>
      <c r="W77" s="40"/>
      <c r="X77" s="212"/>
    </row>
    <row r="78" spans="1:25" ht="18" customHeight="1">
      <c r="A78" s="40"/>
      <c r="B78" s="224" t="s">
        <v>22</v>
      </c>
      <c r="C78" s="40"/>
      <c r="D78" s="40"/>
      <c r="E78" s="40"/>
      <c r="F78" s="40"/>
      <c r="G78" s="231"/>
      <c r="H78" s="40"/>
      <c r="I78" s="40"/>
      <c r="J78" s="40"/>
      <c r="K78" s="222"/>
      <c r="L78" s="40"/>
      <c r="M78" s="40"/>
      <c r="N78" s="40"/>
      <c r="O78" s="40"/>
      <c r="P78" s="40"/>
      <c r="Q78" s="231"/>
      <c r="R78" s="40"/>
      <c r="S78" s="40"/>
      <c r="T78" s="40"/>
      <c r="U78" s="40"/>
      <c r="V78" s="40"/>
      <c r="W78" s="40"/>
      <c r="X78" s="212"/>
    </row>
    <row r="79" spans="1:25" ht="18" customHeight="1" thickBot="1">
      <c r="A79" s="40">
        <v>1</v>
      </c>
      <c r="B79" s="225" t="s">
        <v>23</v>
      </c>
      <c r="C79" s="40"/>
      <c r="D79" s="40"/>
      <c r="E79" s="40"/>
      <c r="F79" s="40"/>
      <c r="G79" s="213">
        <v>1311</v>
      </c>
      <c r="H79" s="350">
        <f t="shared" ref="H79:H129" si="7">G79*1.038</f>
        <v>1360.818</v>
      </c>
      <c r="I79" s="40">
        <v>64</v>
      </c>
      <c r="J79" s="225" t="s">
        <v>809</v>
      </c>
      <c r="K79" s="213">
        <v>187</v>
      </c>
      <c r="L79" s="350">
        <f t="shared" ref="L79:L128" si="8">K79*1.038</f>
        <v>194.10599999999999</v>
      </c>
      <c r="M79" s="40"/>
      <c r="N79" s="40">
        <v>132</v>
      </c>
      <c r="O79" s="40" t="s">
        <v>25</v>
      </c>
      <c r="P79" s="40"/>
      <c r="Q79" s="213">
        <v>5750</v>
      </c>
      <c r="R79" s="350">
        <f t="shared" ref="R79:R97" si="9">Q79*1.038</f>
        <v>5968.5</v>
      </c>
      <c r="S79" s="40"/>
      <c r="T79" s="40"/>
      <c r="U79" s="40"/>
      <c r="V79" s="40"/>
      <c r="W79" s="40"/>
      <c r="X79" s="212"/>
    </row>
    <row r="80" spans="1:25" ht="18" customHeight="1" thickBot="1">
      <c r="A80" s="40">
        <f>(A79+1)</f>
        <v>2</v>
      </c>
      <c r="B80" s="225" t="s">
        <v>26</v>
      </c>
      <c r="C80" s="40"/>
      <c r="D80" s="40"/>
      <c r="E80" s="40"/>
      <c r="F80" s="40"/>
      <c r="G80" s="213">
        <v>856</v>
      </c>
      <c r="H80" s="350">
        <f t="shared" si="7"/>
        <v>888.52800000000002</v>
      </c>
      <c r="I80" s="40">
        <f t="shared" ref="I80:I123" si="10">(I79+1)</f>
        <v>65</v>
      </c>
      <c r="J80" s="225" t="s">
        <v>69</v>
      </c>
      <c r="K80" s="213">
        <v>-40</v>
      </c>
      <c r="L80" s="350">
        <f t="shared" si="8"/>
        <v>-41.52</v>
      </c>
      <c r="M80" s="40"/>
      <c r="N80" s="40">
        <v>133</v>
      </c>
      <c r="O80" s="40" t="s">
        <v>28</v>
      </c>
      <c r="P80" s="40"/>
      <c r="Q80" s="213">
        <v>7860</v>
      </c>
      <c r="R80" s="350">
        <f t="shared" si="9"/>
        <v>8158.68</v>
      </c>
      <c r="S80" s="40"/>
      <c r="T80" s="40"/>
      <c r="U80" s="40"/>
      <c r="V80" s="40"/>
      <c r="W80" s="40"/>
      <c r="X80" s="212"/>
    </row>
    <row r="81" spans="1:24" ht="18" customHeight="1" thickBot="1">
      <c r="A81" s="40">
        <f t="shared" ref="A81:A127" si="11">(A80+1)</f>
        <v>3</v>
      </c>
      <c r="B81" s="225" t="s">
        <v>29</v>
      </c>
      <c r="C81" s="40"/>
      <c r="D81" s="40"/>
      <c r="E81" s="40"/>
      <c r="F81" s="40"/>
      <c r="G81" s="213">
        <v>667</v>
      </c>
      <c r="H81" s="350">
        <f t="shared" si="7"/>
        <v>692.346</v>
      </c>
      <c r="I81" s="40">
        <f t="shared" si="10"/>
        <v>66</v>
      </c>
      <c r="J81" s="225" t="s">
        <v>71</v>
      </c>
      <c r="K81" s="213">
        <v>351</v>
      </c>
      <c r="L81" s="350">
        <f t="shared" si="8"/>
        <v>364.33800000000002</v>
      </c>
      <c r="M81" s="40"/>
      <c r="N81" s="40">
        <v>134</v>
      </c>
      <c r="O81" s="225" t="s">
        <v>31</v>
      </c>
      <c r="P81" s="225"/>
      <c r="Q81" s="213">
        <v>1260</v>
      </c>
      <c r="R81" s="350">
        <f t="shared" si="9"/>
        <v>1307.8800000000001</v>
      </c>
      <c r="S81" s="40" t="s">
        <v>33</v>
      </c>
      <c r="T81" s="40"/>
      <c r="U81" s="40"/>
      <c r="V81" s="40"/>
      <c r="W81" s="40"/>
      <c r="X81" s="212"/>
    </row>
    <row r="82" spans="1:24" ht="18" customHeight="1" thickBot="1">
      <c r="A82" s="40">
        <f t="shared" si="11"/>
        <v>4</v>
      </c>
      <c r="B82" s="225" t="s">
        <v>34</v>
      </c>
      <c r="C82" s="40"/>
      <c r="D82" s="40"/>
      <c r="E82" s="40"/>
      <c r="F82" s="40"/>
      <c r="G82" s="213">
        <v>609</v>
      </c>
      <c r="H82" s="350">
        <f t="shared" si="7"/>
        <v>632.14200000000005</v>
      </c>
      <c r="I82" s="40">
        <f t="shared" si="10"/>
        <v>67</v>
      </c>
      <c r="J82" s="225" t="s">
        <v>73</v>
      </c>
      <c r="K82" s="213">
        <v>964</v>
      </c>
      <c r="L82" s="350">
        <f t="shared" si="8"/>
        <v>1000.6320000000001</v>
      </c>
      <c r="M82" s="40"/>
      <c r="N82" s="40">
        <v>135</v>
      </c>
      <c r="O82" s="226" t="s">
        <v>36</v>
      </c>
      <c r="P82" s="226"/>
      <c r="Q82" s="213">
        <v>312</v>
      </c>
      <c r="R82" s="350">
        <f t="shared" si="9"/>
        <v>323.85599999999999</v>
      </c>
      <c r="S82" s="40" t="s">
        <v>33</v>
      </c>
      <c r="T82" s="40"/>
      <c r="U82" s="40"/>
      <c r="V82" s="40"/>
      <c r="W82" s="40"/>
      <c r="X82" s="212"/>
    </row>
    <row r="83" spans="1:24" ht="18" customHeight="1" thickBot="1">
      <c r="A83" s="40">
        <f t="shared" si="11"/>
        <v>5</v>
      </c>
      <c r="B83" s="225" t="s">
        <v>37</v>
      </c>
      <c r="C83" s="40"/>
      <c r="D83" s="40"/>
      <c r="E83" s="40"/>
      <c r="F83" s="40"/>
      <c r="G83" s="213">
        <v>930</v>
      </c>
      <c r="H83" s="350">
        <f t="shared" si="7"/>
        <v>965.34</v>
      </c>
      <c r="I83" s="40">
        <f t="shared" si="10"/>
        <v>68</v>
      </c>
      <c r="J83" s="225" t="s">
        <v>75</v>
      </c>
      <c r="K83" s="213">
        <v>149</v>
      </c>
      <c r="L83" s="350">
        <f t="shared" si="8"/>
        <v>154.66200000000001</v>
      </c>
      <c r="M83" s="40"/>
      <c r="N83" s="40">
        <v>136</v>
      </c>
      <c r="O83" s="225" t="s">
        <v>765</v>
      </c>
      <c r="P83" s="225"/>
      <c r="Q83" s="218">
        <v>1490</v>
      </c>
      <c r="R83" s="350">
        <f t="shared" si="9"/>
        <v>1546.6200000000001</v>
      </c>
      <c r="S83" s="40" t="s">
        <v>210</v>
      </c>
      <c r="T83" s="40"/>
      <c r="U83" s="40"/>
      <c r="V83" s="40"/>
      <c r="W83" s="40"/>
      <c r="X83" s="212"/>
    </row>
    <row r="84" spans="1:24" ht="18" customHeight="1" thickBot="1">
      <c r="A84" s="40">
        <v>6</v>
      </c>
      <c r="B84" s="225" t="s">
        <v>766</v>
      </c>
      <c r="C84" s="40"/>
      <c r="D84" s="40"/>
      <c r="E84" s="40"/>
      <c r="F84" s="40"/>
      <c r="G84" s="213">
        <v>1246</v>
      </c>
      <c r="H84" s="350">
        <f t="shared" si="7"/>
        <v>1293.348</v>
      </c>
      <c r="I84" s="40">
        <f t="shared" si="10"/>
        <v>69</v>
      </c>
      <c r="J84" s="225" t="s">
        <v>78</v>
      </c>
      <c r="K84" s="213">
        <v>1357</v>
      </c>
      <c r="L84" s="350">
        <f t="shared" si="8"/>
        <v>1408.566</v>
      </c>
      <c r="M84" s="40"/>
      <c r="N84" s="40">
        <f>N83+1</f>
        <v>137</v>
      </c>
      <c r="O84" s="40" t="s">
        <v>767</v>
      </c>
      <c r="P84" s="40"/>
      <c r="Q84" s="213">
        <v>960</v>
      </c>
      <c r="R84" s="350">
        <f t="shared" si="9"/>
        <v>996.48</v>
      </c>
      <c r="S84" s="40"/>
      <c r="T84" s="40"/>
      <c r="U84" s="40"/>
      <c r="V84" s="40"/>
      <c r="W84" s="40"/>
      <c r="X84" s="212"/>
    </row>
    <row r="85" spans="1:24" ht="18" customHeight="1" thickBot="1">
      <c r="A85" s="40">
        <v>7</v>
      </c>
      <c r="B85" s="225" t="s">
        <v>768</v>
      </c>
      <c r="C85" s="40"/>
      <c r="D85" s="40"/>
      <c r="E85" s="40"/>
      <c r="F85" s="40"/>
      <c r="G85" s="213">
        <v>790</v>
      </c>
      <c r="H85" s="350">
        <f t="shared" si="7"/>
        <v>820.02</v>
      </c>
      <c r="I85" s="40">
        <v>70</v>
      </c>
      <c r="J85" s="225" t="s">
        <v>82</v>
      </c>
      <c r="K85" s="213" t="s">
        <v>9</v>
      </c>
      <c r="L85" s="350"/>
      <c r="M85" s="40"/>
      <c r="N85" s="40">
        <f t="shared" ref="N85:N91" si="12">N84+1</f>
        <v>138</v>
      </c>
      <c r="O85" s="40" t="s">
        <v>769</v>
      </c>
      <c r="P85" s="40"/>
      <c r="Q85" s="213">
        <v>4500</v>
      </c>
      <c r="R85" s="350">
        <f t="shared" si="9"/>
        <v>4671</v>
      </c>
      <c r="S85" s="40"/>
      <c r="T85" s="40"/>
      <c r="U85" s="220"/>
      <c r="V85" s="220"/>
      <c r="W85" s="40"/>
      <c r="X85" s="212"/>
    </row>
    <row r="86" spans="1:24" ht="18" customHeight="1" thickBot="1">
      <c r="A86" s="40">
        <v>8</v>
      </c>
      <c r="B86" s="225" t="s">
        <v>39</v>
      </c>
      <c r="C86" s="40"/>
      <c r="D86" s="40"/>
      <c r="E86" s="40"/>
      <c r="F86" s="40"/>
      <c r="G86" s="213">
        <v>1631</v>
      </c>
      <c r="H86" s="350">
        <f t="shared" si="7"/>
        <v>1692.9780000000001</v>
      </c>
      <c r="I86" s="40">
        <f t="shared" si="10"/>
        <v>71</v>
      </c>
      <c r="J86" s="225" t="s">
        <v>84</v>
      </c>
      <c r="K86" s="213">
        <v>42</v>
      </c>
      <c r="L86" s="350">
        <f t="shared" si="8"/>
        <v>43.596000000000004</v>
      </c>
      <c r="M86" s="40"/>
      <c r="N86" s="40">
        <f t="shared" si="12"/>
        <v>139</v>
      </c>
      <c r="O86" s="40" t="s">
        <v>771</v>
      </c>
      <c r="P86" s="40"/>
      <c r="Q86" s="213">
        <v>6200</v>
      </c>
      <c r="R86" s="350">
        <f t="shared" si="9"/>
        <v>6435.6</v>
      </c>
      <c r="S86" s="40"/>
      <c r="T86" s="40"/>
      <c r="U86" s="220"/>
      <c r="V86" s="220"/>
      <c r="W86" s="40"/>
      <c r="X86" s="212"/>
    </row>
    <row r="87" spans="1:24" ht="18" customHeight="1" thickBot="1">
      <c r="A87" s="40">
        <f t="shared" si="11"/>
        <v>9</v>
      </c>
      <c r="B87" s="225" t="s">
        <v>41</v>
      </c>
      <c r="C87" s="40"/>
      <c r="D87" s="40"/>
      <c r="E87" s="40"/>
      <c r="F87" s="40"/>
      <c r="G87" s="213">
        <v>1293</v>
      </c>
      <c r="H87" s="350">
        <f t="shared" si="7"/>
        <v>1342.134</v>
      </c>
      <c r="I87" s="40">
        <f t="shared" si="10"/>
        <v>72</v>
      </c>
      <c r="J87" s="225" t="s">
        <v>86</v>
      </c>
      <c r="K87" s="213">
        <v>647</v>
      </c>
      <c r="L87" s="350">
        <f t="shared" si="8"/>
        <v>671.58600000000001</v>
      </c>
      <c r="M87" s="40"/>
      <c r="N87" s="40">
        <f t="shared" si="12"/>
        <v>140</v>
      </c>
      <c r="O87" s="40" t="s">
        <v>772</v>
      </c>
      <c r="P87" s="40"/>
      <c r="Q87" s="213" t="s">
        <v>515</v>
      </c>
      <c r="R87" s="350"/>
      <c r="S87" s="40"/>
      <c r="T87" s="40"/>
      <c r="U87" s="220"/>
      <c r="V87" s="220"/>
      <c r="W87" s="40"/>
      <c r="X87" s="212"/>
    </row>
    <row r="88" spans="1:24" ht="18" customHeight="1" thickBot="1">
      <c r="A88" s="40">
        <f>(A87+1)</f>
        <v>10</v>
      </c>
      <c r="B88" s="225" t="s">
        <v>43</v>
      </c>
      <c r="C88" s="40"/>
      <c r="D88" s="40"/>
      <c r="E88" s="40"/>
      <c r="F88" s="40"/>
      <c r="G88" s="213">
        <v>903</v>
      </c>
      <c r="H88" s="350">
        <f t="shared" si="7"/>
        <v>937.31400000000008</v>
      </c>
      <c r="I88" s="40">
        <f t="shared" si="10"/>
        <v>73</v>
      </c>
      <c r="J88" s="225" t="s">
        <v>88</v>
      </c>
      <c r="K88" s="213">
        <v>133</v>
      </c>
      <c r="L88" s="350">
        <f t="shared" si="8"/>
        <v>138.054</v>
      </c>
      <c r="M88" s="40"/>
      <c r="N88" s="40">
        <f t="shared" si="12"/>
        <v>141</v>
      </c>
      <c r="O88" s="40" t="s">
        <v>773</v>
      </c>
      <c r="P88" s="40"/>
      <c r="Q88" s="213">
        <v>350</v>
      </c>
      <c r="R88" s="350">
        <f t="shared" si="9"/>
        <v>363.3</v>
      </c>
      <c r="S88" s="40" t="s">
        <v>774</v>
      </c>
      <c r="T88" s="40"/>
      <c r="U88" s="220"/>
      <c r="V88" s="220"/>
      <c r="W88" s="40"/>
      <c r="X88" s="212"/>
    </row>
    <row r="89" spans="1:24" ht="18" customHeight="1" thickBot="1">
      <c r="A89" s="40">
        <f t="shared" si="11"/>
        <v>11</v>
      </c>
      <c r="B89" s="225" t="s">
        <v>45</v>
      </c>
      <c r="C89" s="40"/>
      <c r="D89" s="40"/>
      <c r="E89" s="40"/>
      <c r="F89" s="40"/>
      <c r="G89" s="213">
        <v>-250</v>
      </c>
      <c r="H89" s="350">
        <f t="shared" si="7"/>
        <v>-259.5</v>
      </c>
      <c r="I89" s="40">
        <f t="shared" si="10"/>
        <v>74</v>
      </c>
      <c r="J89" s="40" t="s">
        <v>90</v>
      </c>
      <c r="K89" s="213">
        <v>563</v>
      </c>
      <c r="L89" s="350">
        <f t="shared" si="8"/>
        <v>584.39400000000001</v>
      </c>
      <c r="M89" s="40"/>
      <c r="N89" s="40">
        <f t="shared" si="12"/>
        <v>142</v>
      </c>
      <c r="O89" s="40" t="s">
        <v>775</v>
      </c>
      <c r="P89" s="40"/>
      <c r="Q89" s="213" t="s">
        <v>9</v>
      </c>
      <c r="R89" s="350"/>
      <c r="S89" s="40" t="s">
        <v>776</v>
      </c>
      <c r="T89" s="40"/>
      <c r="U89" s="220"/>
      <c r="V89" s="220"/>
      <c r="W89" s="40"/>
      <c r="X89" s="212"/>
    </row>
    <row r="90" spans="1:24" ht="18" customHeight="1" thickBot="1">
      <c r="A90" s="40">
        <f t="shared" si="11"/>
        <v>12</v>
      </c>
      <c r="B90" s="225" t="s">
        <v>47</v>
      </c>
      <c r="C90" s="40"/>
      <c r="D90" s="40"/>
      <c r="E90" s="40"/>
      <c r="F90" s="40"/>
      <c r="G90" s="213">
        <v>2100</v>
      </c>
      <c r="H90" s="350">
        <f t="shared" si="7"/>
        <v>2179.8000000000002</v>
      </c>
      <c r="I90" s="40">
        <f t="shared" si="10"/>
        <v>75</v>
      </c>
      <c r="J90" s="225" t="s">
        <v>92</v>
      </c>
      <c r="K90" s="213" t="s">
        <v>9</v>
      </c>
      <c r="L90" s="350"/>
      <c r="M90" s="40"/>
      <c r="N90" s="40">
        <f t="shared" si="12"/>
        <v>143</v>
      </c>
      <c r="O90" s="40" t="s">
        <v>777</v>
      </c>
      <c r="P90" s="40"/>
      <c r="Q90" s="213" t="s">
        <v>9</v>
      </c>
      <c r="R90" s="350"/>
      <c r="S90" s="40" t="s">
        <v>776</v>
      </c>
      <c r="T90" s="40"/>
      <c r="U90" s="220"/>
      <c r="V90" s="220"/>
      <c r="W90" s="40"/>
      <c r="X90" s="212"/>
    </row>
    <row r="91" spans="1:24" ht="18" customHeight="1" thickBot="1">
      <c r="A91" s="40">
        <f t="shared" si="11"/>
        <v>13</v>
      </c>
      <c r="B91" s="40" t="s">
        <v>211</v>
      </c>
      <c r="C91" s="40"/>
      <c r="D91" s="40"/>
      <c r="E91" s="40"/>
      <c r="F91" s="40"/>
      <c r="G91" s="213">
        <v>2220</v>
      </c>
      <c r="H91" s="350">
        <f t="shared" si="7"/>
        <v>2304.36</v>
      </c>
      <c r="I91" s="40">
        <f t="shared" si="10"/>
        <v>76</v>
      </c>
      <c r="J91" s="40" t="s">
        <v>94</v>
      </c>
      <c r="K91" s="213">
        <v>64</v>
      </c>
      <c r="L91" s="350">
        <f t="shared" si="8"/>
        <v>66.432000000000002</v>
      </c>
      <c r="M91" s="40"/>
      <c r="N91" s="40">
        <f t="shared" si="12"/>
        <v>144</v>
      </c>
      <c r="O91" s="40" t="s">
        <v>778</v>
      </c>
      <c r="P91" s="40"/>
      <c r="Q91" s="213">
        <v>19495</v>
      </c>
      <c r="R91" s="350">
        <f t="shared" si="9"/>
        <v>20235.810000000001</v>
      </c>
      <c r="S91" s="40" t="s">
        <v>779</v>
      </c>
      <c r="T91" s="40"/>
      <c r="U91" s="220"/>
      <c r="V91" s="220"/>
      <c r="W91" s="40"/>
      <c r="X91" s="212"/>
    </row>
    <row r="92" spans="1:24" ht="18" customHeight="1" thickBot="1">
      <c r="A92" s="40">
        <f t="shared" si="11"/>
        <v>14</v>
      </c>
      <c r="B92" s="225" t="s">
        <v>51</v>
      </c>
      <c r="C92" s="40"/>
      <c r="D92" s="40"/>
      <c r="E92" s="220"/>
      <c r="F92" s="40"/>
      <c r="G92" s="213">
        <v>2174</v>
      </c>
      <c r="H92" s="350">
        <f t="shared" si="7"/>
        <v>2256.6120000000001</v>
      </c>
      <c r="I92" s="40">
        <f t="shared" si="10"/>
        <v>77</v>
      </c>
      <c r="J92" s="40" t="s">
        <v>96</v>
      </c>
      <c r="K92" s="213">
        <v>1100</v>
      </c>
      <c r="L92" s="350">
        <f t="shared" si="8"/>
        <v>1141.8</v>
      </c>
      <c r="M92" s="40"/>
      <c r="N92" s="40">
        <v>145</v>
      </c>
      <c r="O92" s="40" t="s">
        <v>780</v>
      </c>
      <c r="P92" s="40"/>
      <c r="Q92" s="218">
        <v>1290</v>
      </c>
      <c r="R92" s="350">
        <f t="shared" si="9"/>
        <v>1339.02</v>
      </c>
      <c r="S92" s="40"/>
      <c r="T92" s="40"/>
      <c r="U92" s="220"/>
      <c r="V92" s="220"/>
      <c r="W92" s="40"/>
      <c r="X92" s="212"/>
    </row>
    <row r="93" spans="1:24" ht="18" customHeight="1" thickBot="1">
      <c r="A93" s="40">
        <f t="shared" si="11"/>
        <v>15</v>
      </c>
      <c r="B93" s="225" t="s">
        <v>53</v>
      </c>
      <c r="C93" s="40"/>
      <c r="D93" s="40"/>
      <c r="E93" s="220"/>
      <c r="F93" s="40"/>
      <c r="G93" s="213" t="s">
        <v>799</v>
      </c>
      <c r="H93" s="350"/>
      <c r="I93" s="40">
        <v>78</v>
      </c>
      <c r="J93" s="225" t="s">
        <v>781</v>
      </c>
      <c r="K93" s="213">
        <v>4945</v>
      </c>
      <c r="L93" s="350">
        <f t="shared" si="8"/>
        <v>5132.91</v>
      </c>
      <c r="M93" s="40"/>
      <c r="N93" s="40">
        <v>146</v>
      </c>
      <c r="O93" s="40" t="s">
        <v>787</v>
      </c>
      <c r="P93" s="40"/>
      <c r="Q93" s="219" t="s">
        <v>9</v>
      </c>
      <c r="R93" s="350"/>
      <c r="S93" s="40"/>
      <c r="T93" s="40"/>
      <c r="U93" s="40"/>
      <c r="V93" s="40"/>
      <c r="W93" s="40"/>
      <c r="X93" s="212"/>
    </row>
    <row r="94" spans="1:24" ht="18" customHeight="1" thickBot="1">
      <c r="A94" s="40">
        <f t="shared" si="11"/>
        <v>16</v>
      </c>
      <c r="B94" s="225" t="s">
        <v>55</v>
      </c>
      <c r="C94" s="40"/>
      <c r="D94" s="40"/>
      <c r="E94" s="220"/>
      <c r="F94" s="40"/>
      <c r="G94" s="213">
        <v>745</v>
      </c>
      <c r="H94" s="350">
        <f t="shared" si="7"/>
        <v>773.31000000000006</v>
      </c>
      <c r="I94" s="40">
        <f t="shared" si="10"/>
        <v>79</v>
      </c>
      <c r="J94" s="225" t="s">
        <v>783</v>
      </c>
      <c r="K94" s="213">
        <v>5216</v>
      </c>
      <c r="L94" s="350">
        <f t="shared" si="8"/>
        <v>5414.2080000000005</v>
      </c>
      <c r="M94" s="40"/>
      <c r="N94" s="40">
        <v>147</v>
      </c>
      <c r="O94" s="40" t="s">
        <v>782</v>
      </c>
      <c r="P94" s="40"/>
      <c r="Q94" s="219">
        <v>4400</v>
      </c>
      <c r="R94" s="350">
        <f t="shared" si="9"/>
        <v>4567.2</v>
      </c>
      <c r="S94" s="40"/>
      <c r="T94" s="40"/>
      <c r="U94" s="40"/>
      <c r="V94" s="40"/>
      <c r="W94" s="40"/>
      <c r="X94" s="212"/>
    </row>
    <row r="95" spans="1:24" ht="18" customHeight="1" thickBot="1">
      <c r="A95" s="40">
        <f t="shared" si="11"/>
        <v>17</v>
      </c>
      <c r="B95" s="225" t="s">
        <v>58</v>
      </c>
      <c r="C95" s="40"/>
      <c r="D95" s="40"/>
      <c r="E95" s="40"/>
      <c r="F95" s="40"/>
      <c r="G95" s="213">
        <v>0</v>
      </c>
      <c r="H95" s="350">
        <f t="shared" si="7"/>
        <v>0</v>
      </c>
      <c r="I95" s="40">
        <v>80</v>
      </c>
      <c r="J95" s="225" t="s">
        <v>108</v>
      </c>
      <c r="K95" s="213">
        <v>520</v>
      </c>
      <c r="L95" s="350">
        <f t="shared" si="8"/>
        <v>539.76</v>
      </c>
      <c r="M95" s="40"/>
      <c r="N95" s="40">
        <v>148</v>
      </c>
      <c r="O95" s="40" t="s">
        <v>784</v>
      </c>
      <c r="P95" s="40"/>
      <c r="Q95" s="219">
        <v>2100</v>
      </c>
      <c r="R95" s="350">
        <f t="shared" si="9"/>
        <v>2179.8000000000002</v>
      </c>
      <c r="S95" s="40"/>
      <c r="T95" s="40"/>
      <c r="U95" s="40"/>
      <c r="V95" s="40"/>
      <c r="W95" s="40"/>
      <c r="X95" s="212"/>
    </row>
    <row r="96" spans="1:24" ht="18" customHeight="1" thickBot="1">
      <c r="A96" s="40">
        <f t="shared" si="11"/>
        <v>18</v>
      </c>
      <c r="B96" s="225" t="s">
        <v>60</v>
      </c>
      <c r="C96" s="40"/>
      <c r="D96" s="40"/>
      <c r="E96" s="40"/>
      <c r="F96" s="40"/>
      <c r="G96" s="213">
        <v>80</v>
      </c>
      <c r="H96" s="350">
        <f t="shared" si="7"/>
        <v>83.04</v>
      </c>
      <c r="I96" s="40">
        <f t="shared" si="10"/>
        <v>81</v>
      </c>
      <c r="J96" s="225" t="s">
        <v>110</v>
      </c>
      <c r="K96" s="213">
        <v>422</v>
      </c>
      <c r="L96" s="350">
        <f t="shared" si="8"/>
        <v>438.036</v>
      </c>
      <c r="M96" s="40"/>
      <c r="N96" s="40">
        <v>149</v>
      </c>
      <c r="O96" s="40" t="s">
        <v>785</v>
      </c>
      <c r="P96" s="40"/>
      <c r="Q96" s="219">
        <v>380</v>
      </c>
      <c r="R96" s="350">
        <f t="shared" si="9"/>
        <v>394.44</v>
      </c>
      <c r="S96" s="40"/>
      <c r="T96" s="40"/>
      <c r="U96" s="40"/>
      <c r="V96" s="40"/>
      <c r="W96" s="40"/>
      <c r="X96" s="212"/>
    </row>
    <row r="97" spans="1:24" ht="18" customHeight="1" thickBot="1">
      <c r="A97" s="40">
        <f t="shared" si="11"/>
        <v>19</v>
      </c>
      <c r="B97" s="40" t="s">
        <v>62</v>
      </c>
      <c r="C97" s="40"/>
      <c r="D97" s="40"/>
      <c r="E97" s="220"/>
      <c r="F97" s="40"/>
      <c r="G97" s="213">
        <v>52</v>
      </c>
      <c r="H97" s="350">
        <f t="shared" si="7"/>
        <v>53.975999999999999</v>
      </c>
      <c r="I97" s="40">
        <f t="shared" si="10"/>
        <v>82</v>
      </c>
      <c r="J97" s="225" t="s">
        <v>112</v>
      </c>
      <c r="K97" s="213">
        <v>990</v>
      </c>
      <c r="L97" s="350">
        <f t="shared" si="8"/>
        <v>1027.6200000000001</v>
      </c>
      <c r="M97" s="40"/>
      <c r="N97" s="40">
        <v>150</v>
      </c>
      <c r="O97" s="40" t="s">
        <v>786</v>
      </c>
      <c r="P97" s="40"/>
      <c r="Q97" s="219">
        <v>3125</v>
      </c>
      <c r="R97" s="350">
        <f t="shared" si="9"/>
        <v>3243.75</v>
      </c>
      <c r="S97" s="40"/>
      <c r="T97" s="40"/>
      <c r="U97" s="40"/>
      <c r="V97" s="40"/>
      <c r="W97" s="40"/>
      <c r="X97" s="212"/>
    </row>
    <row r="98" spans="1:24" ht="18" customHeight="1" thickBot="1">
      <c r="A98" s="40">
        <f t="shared" si="11"/>
        <v>20</v>
      </c>
      <c r="B98" s="40" t="s">
        <v>64</v>
      </c>
      <c r="C98" s="40"/>
      <c r="D98" s="40"/>
      <c r="E98" s="220"/>
      <c r="F98" s="40"/>
      <c r="G98" s="213">
        <v>88</v>
      </c>
      <c r="H98" s="350">
        <f t="shared" si="7"/>
        <v>91.344000000000008</v>
      </c>
      <c r="I98" s="40">
        <f t="shared" si="10"/>
        <v>83</v>
      </c>
      <c r="J98" s="40" t="s">
        <v>114</v>
      </c>
      <c r="K98" s="213">
        <v>5625</v>
      </c>
      <c r="L98" s="350">
        <f t="shared" si="8"/>
        <v>5838.75</v>
      </c>
      <c r="M98" s="40"/>
      <c r="N98" s="40">
        <v>151</v>
      </c>
      <c r="O98" s="40" t="s">
        <v>787</v>
      </c>
      <c r="P98" s="40"/>
      <c r="Q98" s="219" t="s">
        <v>9</v>
      </c>
      <c r="R98" s="350"/>
      <c r="S98" s="40"/>
      <c r="T98" s="40"/>
      <c r="U98" s="40"/>
      <c r="V98" s="40"/>
      <c r="W98" s="40"/>
      <c r="X98" s="212"/>
    </row>
    <row r="99" spans="1:24" ht="18" customHeight="1" thickBot="1">
      <c r="A99" s="40">
        <f t="shared" si="11"/>
        <v>21</v>
      </c>
      <c r="B99" s="40" t="s">
        <v>66</v>
      </c>
      <c r="C99" s="40"/>
      <c r="D99" s="40"/>
      <c r="E99" s="220"/>
      <c r="F99" s="40"/>
      <c r="G99" s="213">
        <v>75</v>
      </c>
      <c r="H99" s="350">
        <f t="shared" si="7"/>
        <v>77.850000000000009</v>
      </c>
      <c r="I99" s="40">
        <f t="shared" si="10"/>
        <v>84</v>
      </c>
      <c r="J99" s="40" t="s">
        <v>116</v>
      </c>
      <c r="K99" s="213">
        <v>8125</v>
      </c>
      <c r="L99" s="350">
        <f t="shared" si="8"/>
        <v>8433.75</v>
      </c>
      <c r="M99" s="40"/>
      <c r="N99" s="40"/>
      <c r="O99" s="40"/>
      <c r="P99" s="40"/>
      <c r="Q99" s="231"/>
      <c r="R99" s="40"/>
      <c r="S99" s="40"/>
      <c r="T99" s="40"/>
      <c r="U99" s="40"/>
      <c r="V99" s="40"/>
      <c r="W99" s="40"/>
      <c r="X99" s="212"/>
    </row>
    <row r="100" spans="1:24" ht="18" customHeight="1" thickBot="1">
      <c r="A100" s="40">
        <f t="shared" si="11"/>
        <v>22</v>
      </c>
      <c r="B100" s="40" t="s">
        <v>68</v>
      </c>
      <c r="C100" s="40"/>
      <c r="D100" s="40"/>
      <c r="E100" s="220"/>
      <c r="F100" s="40"/>
      <c r="G100" s="213">
        <v>122</v>
      </c>
      <c r="H100" s="350">
        <f t="shared" si="7"/>
        <v>126.63600000000001</v>
      </c>
      <c r="I100" s="40">
        <f t="shared" si="10"/>
        <v>85</v>
      </c>
      <c r="J100" s="40" t="s">
        <v>118</v>
      </c>
      <c r="K100" s="213">
        <v>11250</v>
      </c>
      <c r="L100" s="350">
        <f t="shared" si="8"/>
        <v>11677.5</v>
      </c>
      <c r="M100" s="40"/>
      <c r="N100" s="40"/>
      <c r="O100" s="40"/>
      <c r="P100" s="40"/>
      <c r="Q100" s="231"/>
      <c r="R100" s="40"/>
      <c r="S100" s="40"/>
      <c r="T100" s="40"/>
      <c r="U100" s="40"/>
      <c r="V100" s="40"/>
      <c r="W100" s="40"/>
      <c r="X100" s="212"/>
    </row>
    <row r="101" spans="1:24" ht="18" customHeight="1" thickBot="1">
      <c r="A101" s="40">
        <f t="shared" si="11"/>
        <v>23</v>
      </c>
      <c r="B101" s="40" t="s">
        <v>70</v>
      </c>
      <c r="C101" s="40"/>
      <c r="D101" s="40"/>
      <c r="E101" s="220"/>
      <c r="F101" s="40"/>
      <c r="G101" s="213">
        <v>142</v>
      </c>
      <c r="H101" s="350">
        <f t="shared" si="7"/>
        <v>147.39600000000002</v>
      </c>
      <c r="I101" s="40">
        <f t="shared" si="10"/>
        <v>86</v>
      </c>
      <c r="J101" s="40" t="s">
        <v>120</v>
      </c>
      <c r="K101" s="213">
        <v>625</v>
      </c>
      <c r="L101" s="350">
        <f t="shared" si="8"/>
        <v>648.75</v>
      </c>
      <c r="M101" s="40"/>
      <c r="N101" s="40"/>
      <c r="O101" s="40"/>
      <c r="P101" s="40"/>
      <c r="Q101" s="231"/>
      <c r="R101" s="40"/>
      <c r="S101" s="40"/>
      <c r="T101" s="40"/>
      <c r="U101" s="40"/>
      <c r="V101" s="40"/>
      <c r="W101" s="40"/>
      <c r="X101" s="212"/>
    </row>
    <row r="102" spans="1:24" ht="18" customHeight="1" thickBot="1">
      <c r="A102" s="40">
        <f t="shared" si="11"/>
        <v>24</v>
      </c>
      <c r="B102" s="40" t="s">
        <v>72</v>
      </c>
      <c r="C102" s="40"/>
      <c r="D102" s="40"/>
      <c r="E102" s="220"/>
      <c r="F102" s="40"/>
      <c r="G102" s="213">
        <v>40</v>
      </c>
      <c r="H102" s="350">
        <f t="shared" si="7"/>
        <v>41.52</v>
      </c>
      <c r="I102" s="40">
        <f t="shared" si="10"/>
        <v>87</v>
      </c>
      <c r="J102" s="40" t="s">
        <v>122</v>
      </c>
      <c r="K102" s="213">
        <v>4004</v>
      </c>
      <c r="L102" s="350">
        <f t="shared" si="8"/>
        <v>4156.152</v>
      </c>
      <c r="M102" s="40"/>
      <c r="N102" s="40"/>
      <c r="O102" s="40"/>
      <c r="P102" s="40"/>
      <c r="Q102" s="231"/>
      <c r="R102" s="40"/>
      <c r="S102" s="40"/>
      <c r="T102" s="40"/>
      <c r="U102" s="40"/>
      <c r="V102" s="40"/>
      <c r="W102" s="40"/>
      <c r="X102" s="212"/>
    </row>
    <row r="103" spans="1:24" ht="18" customHeight="1" thickBot="1">
      <c r="A103" s="40">
        <f t="shared" si="11"/>
        <v>25</v>
      </c>
      <c r="B103" s="40" t="s">
        <v>74</v>
      </c>
      <c r="C103" s="40"/>
      <c r="D103" s="40"/>
      <c r="E103" s="220"/>
      <c r="F103" s="40"/>
      <c r="G103" s="213">
        <v>65</v>
      </c>
      <c r="H103" s="350">
        <f t="shared" si="7"/>
        <v>67.47</v>
      </c>
      <c r="I103" s="40">
        <f t="shared" si="10"/>
        <v>88</v>
      </c>
      <c r="J103" s="40" t="s">
        <v>124</v>
      </c>
      <c r="K103" s="213">
        <v>4400</v>
      </c>
      <c r="L103" s="350">
        <f t="shared" si="8"/>
        <v>4567.2</v>
      </c>
      <c r="M103" s="40"/>
      <c r="N103" s="40"/>
      <c r="O103" s="40"/>
      <c r="P103" s="40"/>
      <c r="Q103" s="231"/>
      <c r="R103" s="40"/>
      <c r="S103" s="40"/>
      <c r="T103" s="40"/>
      <c r="U103" s="40"/>
      <c r="V103" s="40"/>
      <c r="W103" s="40"/>
      <c r="X103" s="212"/>
    </row>
    <row r="104" spans="1:24" ht="18" customHeight="1" thickBot="1">
      <c r="A104" s="40">
        <f t="shared" si="11"/>
        <v>26</v>
      </c>
      <c r="B104" s="40" t="s">
        <v>76</v>
      </c>
      <c r="C104" s="40"/>
      <c r="D104" s="40"/>
      <c r="E104" s="220"/>
      <c r="F104" s="40"/>
      <c r="G104" s="213">
        <v>475</v>
      </c>
      <c r="H104" s="350">
        <f t="shared" si="7"/>
        <v>493.05</v>
      </c>
      <c r="I104" s="40">
        <f t="shared" si="10"/>
        <v>89</v>
      </c>
      <c r="J104" s="40" t="s">
        <v>126</v>
      </c>
      <c r="K104" s="213">
        <v>6000</v>
      </c>
      <c r="L104" s="350">
        <f t="shared" si="8"/>
        <v>6228</v>
      </c>
      <c r="M104" s="40"/>
      <c r="N104" s="40"/>
      <c r="O104" s="40"/>
      <c r="P104" s="40"/>
      <c r="Q104" s="231"/>
      <c r="R104" s="40"/>
      <c r="S104" s="40"/>
      <c r="T104" s="40"/>
      <c r="U104" s="40"/>
      <c r="V104" s="40"/>
      <c r="W104" s="40"/>
      <c r="X104" s="212"/>
    </row>
    <row r="105" spans="1:24" ht="18" customHeight="1" thickBot="1">
      <c r="A105" s="40">
        <f t="shared" si="11"/>
        <v>27</v>
      </c>
      <c r="B105" s="225" t="s">
        <v>79</v>
      </c>
      <c r="C105" s="40"/>
      <c r="D105" s="40"/>
      <c r="E105" s="220"/>
      <c r="F105" s="40"/>
      <c r="G105" s="213" t="s">
        <v>9</v>
      </c>
      <c r="H105" s="350"/>
      <c r="I105" s="40">
        <f t="shared" si="10"/>
        <v>90</v>
      </c>
      <c r="J105" s="40" t="s">
        <v>128</v>
      </c>
      <c r="K105" s="213">
        <v>8100</v>
      </c>
      <c r="L105" s="350">
        <f t="shared" si="8"/>
        <v>8407.8000000000011</v>
      </c>
      <c r="M105" s="40"/>
      <c r="N105" s="40"/>
      <c r="O105" s="40"/>
      <c r="P105" s="40"/>
      <c r="Q105" s="231"/>
      <c r="R105" s="40"/>
      <c r="S105" s="40"/>
      <c r="T105" s="40"/>
      <c r="U105" s="40"/>
      <c r="V105" s="40"/>
      <c r="W105" s="40"/>
      <c r="X105" s="212"/>
    </row>
    <row r="106" spans="1:24" ht="18" customHeight="1" thickBot="1">
      <c r="A106" s="40">
        <f t="shared" si="11"/>
        <v>28</v>
      </c>
      <c r="B106" s="225" t="s">
        <v>789</v>
      </c>
      <c r="C106" s="40"/>
      <c r="D106" s="40"/>
      <c r="E106" s="40"/>
      <c r="F106" s="40"/>
      <c r="G106" s="213" t="s">
        <v>9</v>
      </c>
      <c r="H106" s="350"/>
      <c r="I106" s="40">
        <f t="shared" si="10"/>
        <v>91</v>
      </c>
      <c r="J106" s="225" t="s">
        <v>130</v>
      </c>
      <c r="K106" s="213">
        <v>3466</v>
      </c>
      <c r="L106" s="350">
        <f t="shared" si="8"/>
        <v>3597.7080000000001</v>
      </c>
      <c r="M106" s="40"/>
      <c r="N106" s="40"/>
      <c r="O106" s="40"/>
      <c r="P106" s="40"/>
      <c r="Q106" s="231"/>
      <c r="R106" s="40"/>
      <c r="S106" s="40"/>
      <c r="T106" s="40"/>
      <c r="U106" s="40"/>
      <c r="V106" s="40"/>
      <c r="W106" s="40"/>
      <c r="X106" s="212"/>
    </row>
    <row r="107" spans="1:24" ht="18" customHeight="1" thickBot="1">
      <c r="A107" s="40">
        <f t="shared" si="11"/>
        <v>29</v>
      </c>
      <c r="B107" s="225" t="s">
        <v>83</v>
      </c>
      <c r="C107" s="40"/>
      <c r="D107" s="40"/>
      <c r="E107" s="40" t="s">
        <v>1022</v>
      </c>
      <c r="F107" s="40"/>
      <c r="G107" s="213">
        <v>190</v>
      </c>
      <c r="H107" s="350">
        <f t="shared" si="7"/>
        <v>197.22</v>
      </c>
      <c r="I107" s="40">
        <f t="shared" si="10"/>
        <v>92</v>
      </c>
      <c r="J107" s="225" t="s">
        <v>132</v>
      </c>
      <c r="K107" s="213">
        <v>6174</v>
      </c>
      <c r="L107" s="350">
        <f t="shared" si="8"/>
        <v>6408.6120000000001</v>
      </c>
      <c r="M107" s="40"/>
      <c r="N107" s="40"/>
      <c r="O107" s="40"/>
      <c r="P107" s="40"/>
      <c r="Q107" s="231"/>
      <c r="R107" s="40"/>
      <c r="S107" s="40"/>
      <c r="T107" s="40"/>
      <c r="U107" s="40"/>
      <c r="V107" s="40"/>
      <c r="W107" s="40"/>
      <c r="X107" s="212"/>
    </row>
    <row r="108" spans="1:24" ht="18" customHeight="1" thickBot="1">
      <c r="A108" s="40">
        <f t="shared" si="11"/>
        <v>30</v>
      </c>
      <c r="B108" s="225" t="s">
        <v>85</v>
      </c>
      <c r="C108" s="40"/>
      <c r="D108" s="40"/>
      <c r="E108" s="40"/>
      <c r="F108" s="40"/>
      <c r="G108" s="213">
        <v>515</v>
      </c>
      <c r="H108" s="350">
        <f t="shared" si="7"/>
        <v>534.57000000000005</v>
      </c>
      <c r="I108" s="40">
        <f t="shared" si="10"/>
        <v>93</v>
      </c>
      <c r="J108" s="225" t="s">
        <v>134</v>
      </c>
      <c r="K108" s="213">
        <v>1515</v>
      </c>
      <c r="L108" s="350">
        <f t="shared" si="8"/>
        <v>1572.5700000000002</v>
      </c>
      <c r="M108" s="40"/>
      <c r="N108" s="40"/>
      <c r="O108" s="40"/>
      <c r="P108" s="40"/>
      <c r="Q108" s="231"/>
      <c r="R108" s="40"/>
      <c r="S108" s="40"/>
      <c r="T108" s="40"/>
      <c r="U108" s="40"/>
      <c r="V108" s="40"/>
      <c r="W108" s="40"/>
      <c r="X108" s="212"/>
    </row>
    <row r="109" spans="1:24" ht="18" customHeight="1" thickBot="1">
      <c r="A109" s="40">
        <f t="shared" si="11"/>
        <v>31</v>
      </c>
      <c r="B109" s="225" t="s">
        <v>87</v>
      </c>
      <c r="C109" s="40"/>
      <c r="D109" s="40"/>
      <c r="E109" s="40"/>
      <c r="F109" s="40"/>
      <c r="G109" s="213">
        <v>625</v>
      </c>
      <c r="H109" s="350">
        <f t="shared" si="7"/>
        <v>648.75</v>
      </c>
      <c r="I109" s="40">
        <v>95</v>
      </c>
      <c r="J109" s="40" t="s">
        <v>138</v>
      </c>
      <c r="K109" s="213">
        <v>4919</v>
      </c>
      <c r="L109" s="350">
        <f t="shared" si="8"/>
        <v>5105.9220000000005</v>
      </c>
      <c r="M109" s="40"/>
      <c r="N109" s="40"/>
      <c r="O109" s="40"/>
      <c r="P109" s="40"/>
      <c r="Q109" s="231"/>
      <c r="R109" s="40"/>
      <c r="S109" s="40"/>
      <c r="T109" s="40"/>
      <c r="U109" s="40"/>
      <c r="V109" s="40"/>
      <c r="W109" s="40"/>
      <c r="X109" s="212"/>
    </row>
    <row r="110" spans="1:24" ht="18" customHeight="1" thickBot="1">
      <c r="A110" s="40">
        <f t="shared" si="11"/>
        <v>32</v>
      </c>
      <c r="B110" s="225" t="s">
        <v>89</v>
      </c>
      <c r="C110" s="40"/>
      <c r="D110" s="40"/>
      <c r="E110" s="40"/>
      <c r="F110" s="40"/>
      <c r="G110" s="213">
        <v>715</v>
      </c>
      <c r="H110" s="350">
        <f t="shared" si="7"/>
        <v>742.17000000000007</v>
      </c>
      <c r="I110" s="40">
        <f t="shared" si="10"/>
        <v>96</v>
      </c>
      <c r="J110" s="40" t="s">
        <v>140</v>
      </c>
      <c r="K110" s="213">
        <v>1747</v>
      </c>
      <c r="L110" s="350">
        <f t="shared" si="8"/>
        <v>1813.386</v>
      </c>
      <c r="M110" s="40"/>
      <c r="N110" s="40"/>
      <c r="O110" s="40"/>
      <c r="P110" s="40"/>
      <c r="Q110" s="231"/>
      <c r="R110" s="40"/>
      <c r="S110" s="40"/>
      <c r="T110" s="40"/>
      <c r="U110" s="40"/>
      <c r="V110" s="40"/>
      <c r="W110" s="40"/>
      <c r="X110" s="212"/>
    </row>
    <row r="111" spans="1:24" ht="18" customHeight="1" thickBot="1">
      <c r="A111" s="40">
        <f t="shared" si="11"/>
        <v>33</v>
      </c>
      <c r="B111" s="40" t="s">
        <v>91</v>
      </c>
      <c r="C111" s="40"/>
      <c r="D111" s="40"/>
      <c r="E111" s="40"/>
      <c r="F111" s="40"/>
      <c r="G111" s="213">
        <v>-120</v>
      </c>
      <c r="H111" s="350">
        <f t="shared" si="7"/>
        <v>-124.56</v>
      </c>
      <c r="I111" s="40">
        <f t="shared" si="10"/>
        <v>97</v>
      </c>
      <c r="J111" s="40" t="s">
        <v>142</v>
      </c>
      <c r="K111" s="213" t="s">
        <v>515</v>
      </c>
      <c r="L111" s="350"/>
      <c r="M111" s="40"/>
      <c r="N111" s="40"/>
      <c r="O111" s="40"/>
      <c r="P111" s="40"/>
      <c r="Q111" s="231"/>
      <c r="R111" s="40"/>
      <c r="S111" s="40"/>
      <c r="T111" s="40"/>
      <c r="U111" s="40"/>
      <c r="V111" s="40"/>
      <c r="W111" s="40"/>
      <c r="X111" s="212"/>
    </row>
    <row r="112" spans="1:24" ht="18" customHeight="1" thickBot="1">
      <c r="A112" s="40">
        <f t="shared" si="11"/>
        <v>34</v>
      </c>
      <c r="B112" s="40" t="s">
        <v>93</v>
      </c>
      <c r="C112" s="40"/>
      <c r="D112" s="40"/>
      <c r="E112" s="40"/>
      <c r="F112" s="40"/>
      <c r="G112" s="213">
        <v>-135</v>
      </c>
      <c r="H112" s="350">
        <f t="shared" si="7"/>
        <v>-140.13</v>
      </c>
      <c r="I112" s="40">
        <f t="shared" si="10"/>
        <v>98</v>
      </c>
      <c r="J112" s="225" t="s">
        <v>144</v>
      </c>
      <c r="K112" s="213">
        <v>5877</v>
      </c>
      <c r="L112" s="350">
        <f t="shared" si="8"/>
        <v>6100.326</v>
      </c>
      <c r="M112" s="40"/>
      <c r="N112" s="40"/>
      <c r="O112" s="40"/>
      <c r="P112" s="40"/>
      <c r="Q112" s="231"/>
      <c r="R112" s="40"/>
      <c r="S112" s="40"/>
      <c r="T112" s="40"/>
      <c r="U112" s="40"/>
      <c r="V112" s="40"/>
      <c r="W112" s="40"/>
      <c r="X112" s="212"/>
    </row>
    <row r="113" spans="1:24" ht="18" customHeight="1" thickBot="1">
      <c r="A113" s="40">
        <f t="shared" si="11"/>
        <v>35</v>
      </c>
      <c r="B113" s="40" t="s">
        <v>95</v>
      </c>
      <c r="C113" s="40"/>
      <c r="D113" s="40"/>
      <c r="E113" s="40"/>
      <c r="F113" s="40"/>
      <c r="G113" s="213">
        <v>1665</v>
      </c>
      <c r="H113" s="350">
        <f t="shared" si="7"/>
        <v>1728.27</v>
      </c>
      <c r="I113" s="40">
        <f t="shared" si="10"/>
        <v>99</v>
      </c>
      <c r="J113" s="228" t="s">
        <v>146</v>
      </c>
      <c r="K113" s="213">
        <v>6847</v>
      </c>
      <c r="L113" s="350">
        <f t="shared" si="8"/>
        <v>7107.1860000000006</v>
      </c>
      <c r="M113" s="40"/>
      <c r="N113" s="40"/>
      <c r="O113" s="40"/>
      <c r="P113" s="40"/>
      <c r="Q113" s="231"/>
      <c r="R113" s="40"/>
      <c r="S113" s="40"/>
      <c r="T113" s="40"/>
      <c r="U113" s="40"/>
      <c r="V113" s="40"/>
      <c r="W113" s="40"/>
      <c r="X113" s="212"/>
    </row>
    <row r="114" spans="1:24" ht="18" customHeight="1" thickBot="1">
      <c r="A114" s="40">
        <f t="shared" si="11"/>
        <v>36</v>
      </c>
      <c r="B114" s="40" t="s">
        <v>97</v>
      </c>
      <c r="C114" s="40"/>
      <c r="D114" s="40"/>
      <c r="E114" s="40"/>
      <c r="F114" s="40"/>
      <c r="G114" s="213">
        <v>2875</v>
      </c>
      <c r="H114" s="350">
        <f t="shared" si="7"/>
        <v>2984.25</v>
      </c>
      <c r="I114" s="40">
        <f>(I113+1)</f>
        <v>100</v>
      </c>
      <c r="J114" s="225" t="s">
        <v>148</v>
      </c>
      <c r="K114" s="213" t="s">
        <v>9</v>
      </c>
      <c r="L114" s="350"/>
      <c r="M114" s="40"/>
      <c r="N114" s="229"/>
      <c r="O114" s="40"/>
      <c r="P114" s="40"/>
      <c r="Q114" s="231"/>
      <c r="R114" s="225"/>
      <c r="S114" s="40"/>
      <c r="T114" s="40"/>
      <c r="U114" s="40"/>
      <c r="V114" s="40"/>
      <c r="W114" s="40"/>
      <c r="X114" s="212"/>
    </row>
    <row r="115" spans="1:24" ht="18" customHeight="1" thickBot="1">
      <c r="A115" s="40">
        <v>37</v>
      </c>
      <c r="B115" s="40" t="s">
        <v>103</v>
      </c>
      <c r="C115" s="40"/>
      <c r="D115" s="40"/>
      <c r="E115" s="40"/>
      <c r="F115" s="40"/>
      <c r="G115" s="213">
        <v>169</v>
      </c>
      <c r="H115" s="350">
        <f t="shared" si="7"/>
        <v>175.422</v>
      </c>
      <c r="I115" s="40">
        <f t="shared" si="10"/>
        <v>101</v>
      </c>
      <c r="J115" s="40" t="s">
        <v>150</v>
      </c>
      <c r="K115" s="232">
        <v>1050</v>
      </c>
      <c r="L115" s="350">
        <f t="shared" si="8"/>
        <v>1089.9000000000001</v>
      </c>
      <c r="M115" s="40"/>
      <c r="N115" s="229"/>
      <c r="O115" s="40"/>
      <c r="P115" s="40"/>
      <c r="Q115" s="231"/>
      <c r="R115" s="225"/>
      <c r="S115" s="40"/>
      <c r="T115" s="40"/>
      <c r="U115" s="40"/>
      <c r="V115" s="40"/>
      <c r="W115" s="40"/>
      <c r="X115" s="212"/>
    </row>
    <row r="116" spans="1:24" ht="18" customHeight="1" thickBot="1">
      <c r="A116" s="40">
        <f t="shared" si="11"/>
        <v>38</v>
      </c>
      <c r="B116" s="40" t="s">
        <v>105</v>
      </c>
      <c r="C116" s="40"/>
      <c r="D116" s="40"/>
      <c r="E116" s="40"/>
      <c r="F116" s="40"/>
      <c r="G116" s="213">
        <v>69</v>
      </c>
      <c r="H116" s="350">
        <f t="shared" si="7"/>
        <v>71.622</v>
      </c>
      <c r="I116" s="40">
        <f t="shared" si="10"/>
        <v>102</v>
      </c>
      <c r="J116" s="40" t="s">
        <v>152</v>
      </c>
      <c r="K116" s="232">
        <v>795</v>
      </c>
      <c r="L116" s="350">
        <f t="shared" si="8"/>
        <v>825.21</v>
      </c>
      <c r="M116" s="229"/>
      <c r="N116" s="229"/>
      <c r="O116" s="40"/>
      <c r="P116" s="40"/>
      <c r="Q116" s="231"/>
      <c r="R116" s="225"/>
      <c r="S116" s="40"/>
      <c r="T116" s="40"/>
      <c r="U116" s="40"/>
      <c r="V116" s="40"/>
      <c r="W116" s="40"/>
      <c r="X116" s="212"/>
    </row>
    <row r="117" spans="1:24" ht="18" customHeight="1" thickBot="1">
      <c r="A117" s="40">
        <f t="shared" si="11"/>
        <v>39</v>
      </c>
      <c r="B117" s="40" t="s">
        <v>107</v>
      </c>
      <c r="C117" s="40"/>
      <c r="D117" s="40"/>
      <c r="E117" s="40"/>
      <c r="F117" s="40"/>
      <c r="G117" s="213" t="s">
        <v>9</v>
      </c>
      <c r="H117" s="350"/>
      <c r="I117" s="40">
        <f t="shared" si="10"/>
        <v>103</v>
      </c>
      <c r="J117" s="40" t="s">
        <v>154</v>
      </c>
      <c r="K117" s="232">
        <v>1090</v>
      </c>
      <c r="L117" s="350">
        <f t="shared" si="8"/>
        <v>1131.42</v>
      </c>
      <c r="M117" s="229"/>
      <c r="N117" s="40"/>
      <c r="O117" s="40"/>
      <c r="P117" s="40"/>
      <c r="Q117" s="231"/>
      <c r="R117" s="225"/>
      <c r="S117" s="40"/>
      <c r="T117" s="40"/>
      <c r="U117" s="40"/>
      <c r="V117" s="40"/>
      <c r="W117" s="40"/>
      <c r="X117" s="212"/>
    </row>
    <row r="118" spans="1:24" ht="18" customHeight="1" thickBot="1">
      <c r="A118" s="40">
        <f t="shared" si="11"/>
        <v>40</v>
      </c>
      <c r="B118" s="40" t="s">
        <v>109</v>
      </c>
      <c r="C118" s="40"/>
      <c r="D118" s="40"/>
      <c r="E118" s="40"/>
      <c r="F118" s="40"/>
      <c r="G118" s="213" t="s">
        <v>9</v>
      </c>
      <c r="H118" s="350"/>
      <c r="I118" s="40">
        <f t="shared" si="10"/>
        <v>104</v>
      </c>
      <c r="J118" s="40" t="s">
        <v>156</v>
      </c>
      <c r="K118" s="232">
        <v>360</v>
      </c>
      <c r="L118" s="350">
        <f t="shared" si="8"/>
        <v>373.68</v>
      </c>
      <c r="M118" s="229"/>
      <c r="N118" s="40"/>
      <c r="O118" s="40"/>
      <c r="P118" s="40"/>
      <c r="Q118" s="231"/>
      <c r="R118" s="225"/>
      <c r="S118" s="40"/>
      <c r="T118" s="40"/>
      <c r="U118" s="40"/>
      <c r="V118" s="40"/>
      <c r="W118" s="40"/>
      <c r="X118" s="212"/>
    </row>
    <row r="119" spans="1:24" ht="18" customHeight="1" thickBot="1">
      <c r="A119" s="40">
        <f t="shared" si="11"/>
        <v>41</v>
      </c>
      <c r="B119" s="40" t="s">
        <v>111</v>
      </c>
      <c r="C119" s="40"/>
      <c r="D119" s="40"/>
      <c r="E119" s="40"/>
      <c r="F119" s="40"/>
      <c r="G119" s="213" t="s">
        <v>9</v>
      </c>
      <c r="H119" s="350"/>
      <c r="I119" s="40">
        <f>(I118+1)</f>
        <v>105</v>
      </c>
      <c r="J119" s="40" t="s">
        <v>157</v>
      </c>
      <c r="K119" s="232">
        <v>440</v>
      </c>
      <c r="L119" s="350">
        <f t="shared" si="8"/>
        <v>456.72</v>
      </c>
      <c r="M119" s="220"/>
      <c r="N119" s="40"/>
      <c r="O119" s="40"/>
      <c r="P119" s="40"/>
      <c r="Q119" s="231"/>
      <c r="R119" s="225"/>
      <c r="S119" s="40"/>
      <c r="T119" s="40"/>
      <c r="U119" s="40"/>
      <c r="V119" s="40"/>
      <c r="W119" s="40"/>
      <c r="X119" s="212"/>
    </row>
    <row r="120" spans="1:24" ht="18" customHeight="1" thickBot="1">
      <c r="A120" s="40">
        <f t="shared" si="11"/>
        <v>42</v>
      </c>
      <c r="B120" s="225" t="s">
        <v>113</v>
      </c>
      <c r="C120" s="40"/>
      <c r="D120" s="40"/>
      <c r="E120" s="40"/>
      <c r="F120" s="40"/>
      <c r="G120" s="230" t="s">
        <v>9</v>
      </c>
      <c r="H120" s="350"/>
      <c r="I120" s="40">
        <f t="shared" si="10"/>
        <v>106</v>
      </c>
      <c r="J120" s="40" t="s">
        <v>158</v>
      </c>
      <c r="K120" s="213">
        <v>1156</v>
      </c>
      <c r="L120" s="350">
        <f t="shared" si="8"/>
        <v>1199.9280000000001</v>
      </c>
      <c r="M120" s="40"/>
      <c r="N120" s="40"/>
      <c r="O120" s="40"/>
      <c r="P120" s="40"/>
      <c r="Q120" s="231"/>
      <c r="R120" s="225"/>
      <c r="S120" s="40"/>
      <c r="T120" s="40"/>
      <c r="U120" s="40"/>
      <c r="V120" s="40"/>
      <c r="W120" s="40"/>
      <c r="X120" s="212"/>
    </row>
    <row r="121" spans="1:24" ht="18" customHeight="1" thickBot="1">
      <c r="A121" s="40">
        <f t="shared" si="11"/>
        <v>43</v>
      </c>
      <c r="B121" s="225" t="s">
        <v>115</v>
      </c>
      <c r="C121" s="40"/>
      <c r="D121" s="40"/>
      <c r="E121" s="40"/>
      <c r="F121" s="40"/>
      <c r="G121" s="213" t="s">
        <v>9</v>
      </c>
      <c r="H121" s="350"/>
      <c r="I121" s="40">
        <f t="shared" si="10"/>
        <v>107</v>
      </c>
      <c r="J121" s="40" t="s">
        <v>160</v>
      </c>
      <c r="K121" s="213">
        <v>1593</v>
      </c>
      <c r="L121" s="350">
        <f t="shared" si="8"/>
        <v>1653.5340000000001</v>
      </c>
      <c r="M121" s="40"/>
      <c r="N121" s="40"/>
      <c r="O121" s="40"/>
      <c r="P121" s="40"/>
      <c r="Q121" s="231"/>
      <c r="R121" s="225"/>
      <c r="S121" s="40"/>
      <c r="T121" s="40"/>
      <c r="U121" s="40"/>
      <c r="V121" s="40"/>
      <c r="W121" s="40"/>
      <c r="X121" s="212"/>
    </row>
    <row r="122" spans="1:24" ht="18" customHeight="1" thickBot="1">
      <c r="A122" s="40">
        <f t="shared" si="11"/>
        <v>44</v>
      </c>
      <c r="B122" s="225" t="s">
        <v>220</v>
      </c>
      <c r="C122" s="40"/>
      <c r="D122" s="40"/>
      <c r="E122" s="40"/>
      <c r="F122" s="40"/>
      <c r="G122" s="213" t="s">
        <v>799</v>
      </c>
      <c r="H122" s="350"/>
      <c r="I122" s="40">
        <f t="shared" si="10"/>
        <v>108</v>
      </c>
      <c r="J122" s="40" t="s">
        <v>161</v>
      </c>
      <c r="K122" s="213">
        <v>1817</v>
      </c>
      <c r="L122" s="350">
        <f t="shared" si="8"/>
        <v>1886.046</v>
      </c>
      <c r="M122" s="40"/>
      <c r="N122" s="40"/>
      <c r="O122" s="40"/>
      <c r="P122" s="40"/>
      <c r="Q122" s="231"/>
      <c r="R122" s="225"/>
      <c r="S122" s="40"/>
      <c r="T122" s="40"/>
      <c r="U122" s="40"/>
      <c r="V122" s="40"/>
      <c r="W122" s="40"/>
      <c r="X122" s="212"/>
    </row>
    <row r="123" spans="1:24" ht="18" customHeight="1" thickBot="1">
      <c r="A123" s="40">
        <f t="shared" si="11"/>
        <v>45</v>
      </c>
      <c r="B123" s="40" t="s">
        <v>119</v>
      </c>
      <c r="C123" s="40"/>
      <c r="D123" s="40"/>
      <c r="E123" s="40"/>
      <c r="F123" s="40"/>
      <c r="G123" s="213">
        <v>350</v>
      </c>
      <c r="H123" s="350">
        <f t="shared" si="7"/>
        <v>363.3</v>
      </c>
      <c r="I123" s="40">
        <f t="shared" si="10"/>
        <v>109</v>
      </c>
      <c r="J123" s="40" t="s">
        <v>162</v>
      </c>
      <c r="K123" s="213">
        <v>2070</v>
      </c>
      <c r="L123" s="350">
        <f t="shared" si="8"/>
        <v>2148.66</v>
      </c>
      <c r="M123" s="40"/>
      <c r="N123" s="40"/>
      <c r="O123" s="40"/>
      <c r="P123" s="40"/>
      <c r="Q123" s="231"/>
      <c r="R123" s="225"/>
      <c r="S123" s="40"/>
      <c r="T123" s="40"/>
      <c r="U123" s="40"/>
      <c r="V123" s="40"/>
      <c r="W123" s="40"/>
      <c r="X123" s="212"/>
    </row>
    <row r="124" spans="1:24" ht="18" customHeight="1" thickBot="1">
      <c r="A124" s="40">
        <f t="shared" si="11"/>
        <v>46</v>
      </c>
      <c r="B124" s="40" t="s">
        <v>121</v>
      </c>
      <c r="C124" s="40"/>
      <c r="D124" s="40"/>
      <c r="E124" s="40"/>
      <c r="F124" s="40"/>
      <c r="G124" s="213">
        <v>33</v>
      </c>
      <c r="H124" s="350">
        <f t="shared" si="7"/>
        <v>34.253999999999998</v>
      </c>
      <c r="I124" s="40">
        <v>127</v>
      </c>
      <c r="J124" s="40" t="s">
        <v>164</v>
      </c>
      <c r="K124" s="230">
        <v>1769</v>
      </c>
      <c r="L124" s="350">
        <f t="shared" si="8"/>
        <v>1836.222</v>
      </c>
      <c r="M124" s="40"/>
      <c r="N124" s="40"/>
      <c r="O124" s="40"/>
      <c r="P124" s="40"/>
      <c r="Q124" s="231"/>
      <c r="R124" s="225"/>
      <c r="S124" s="40"/>
      <c r="T124" s="40"/>
      <c r="U124" s="40"/>
      <c r="V124" s="40"/>
      <c r="W124" s="40"/>
      <c r="X124" s="212"/>
    </row>
    <row r="125" spans="1:24" ht="18" customHeight="1" thickBot="1">
      <c r="A125" s="40">
        <f t="shared" si="11"/>
        <v>47</v>
      </c>
      <c r="B125" s="40" t="s">
        <v>123</v>
      </c>
      <c r="C125" s="40"/>
      <c r="D125" s="40"/>
      <c r="E125" s="40"/>
      <c r="F125" s="40"/>
      <c r="G125" s="213">
        <v>77</v>
      </c>
      <c r="H125" s="350">
        <f t="shared" si="7"/>
        <v>79.926000000000002</v>
      </c>
      <c r="I125" s="40">
        <v>128</v>
      </c>
      <c r="J125" s="40" t="s">
        <v>222</v>
      </c>
      <c r="K125" s="213">
        <v>126</v>
      </c>
      <c r="L125" s="350">
        <f t="shared" si="8"/>
        <v>130.78800000000001</v>
      </c>
      <c r="M125" s="40"/>
      <c r="N125" s="40"/>
      <c r="O125" s="40"/>
      <c r="P125" s="40"/>
      <c r="Q125" s="231"/>
      <c r="R125" s="225"/>
      <c r="S125" s="40"/>
      <c r="T125" s="40"/>
      <c r="U125" s="40"/>
      <c r="V125" s="40"/>
      <c r="W125" s="40"/>
      <c r="X125" s="212"/>
    </row>
    <row r="126" spans="1:24" ht="18" customHeight="1" thickBot="1">
      <c r="A126" s="40">
        <f t="shared" si="11"/>
        <v>48</v>
      </c>
      <c r="B126" s="40" t="s">
        <v>125</v>
      </c>
      <c r="C126" s="40"/>
      <c r="D126" s="40"/>
      <c r="E126" s="40"/>
      <c r="F126" s="40"/>
      <c r="G126" s="213">
        <v>418</v>
      </c>
      <c r="H126" s="350">
        <f t="shared" si="7"/>
        <v>433.88400000000001</v>
      </c>
      <c r="I126" s="40">
        <v>129</v>
      </c>
      <c r="J126" s="40" t="s">
        <v>166</v>
      </c>
      <c r="K126" s="213" t="s">
        <v>9</v>
      </c>
      <c r="L126" s="350"/>
      <c r="M126" s="40"/>
      <c r="N126" s="40"/>
      <c r="O126" s="40"/>
      <c r="P126" s="40"/>
      <c r="Q126" s="231"/>
      <c r="R126" s="225"/>
      <c r="S126" s="40"/>
      <c r="T126" s="40"/>
      <c r="U126" s="40"/>
      <c r="V126" s="40"/>
      <c r="W126" s="40"/>
      <c r="X126" s="212"/>
    </row>
    <row r="127" spans="1:24" ht="18" customHeight="1" thickBot="1">
      <c r="A127" s="40">
        <f t="shared" si="11"/>
        <v>49</v>
      </c>
      <c r="B127" s="40" t="s">
        <v>127</v>
      </c>
      <c r="C127" s="40"/>
      <c r="D127" s="40"/>
      <c r="E127" s="40"/>
      <c r="F127" s="40"/>
      <c r="G127" s="213">
        <v>220</v>
      </c>
      <c r="H127" s="350">
        <f t="shared" si="7"/>
        <v>228.36</v>
      </c>
      <c r="I127" s="40">
        <v>130</v>
      </c>
      <c r="J127" s="40" t="s">
        <v>167</v>
      </c>
      <c r="K127" s="213" t="s">
        <v>9</v>
      </c>
      <c r="L127" s="350"/>
      <c r="M127" s="40"/>
      <c r="N127" s="40"/>
      <c r="O127" s="40"/>
      <c r="P127" s="40"/>
      <c r="Q127" s="231"/>
      <c r="R127" s="225"/>
      <c r="S127" s="40"/>
      <c r="T127" s="40"/>
      <c r="U127" s="40"/>
      <c r="V127" s="40"/>
      <c r="W127" s="40"/>
      <c r="X127" s="212"/>
    </row>
    <row r="128" spans="1:24" ht="18" customHeight="1" thickBot="1">
      <c r="A128" s="40">
        <v>52</v>
      </c>
      <c r="B128" s="40" t="s">
        <v>790</v>
      </c>
      <c r="C128" s="220"/>
      <c r="D128" s="40"/>
      <c r="E128" s="40"/>
      <c r="F128" s="40"/>
      <c r="G128" s="213"/>
      <c r="H128" s="350">
        <f t="shared" si="7"/>
        <v>0</v>
      </c>
      <c r="I128" s="40">
        <v>131</v>
      </c>
      <c r="J128" s="40" t="s">
        <v>168</v>
      </c>
      <c r="K128" s="213">
        <v>100</v>
      </c>
      <c r="L128" s="350">
        <f t="shared" si="8"/>
        <v>103.8</v>
      </c>
      <c r="M128" s="40"/>
      <c r="N128" s="40"/>
      <c r="O128" s="40"/>
      <c r="P128" s="40"/>
      <c r="Q128" s="231"/>
      <c r="R128" s="225"/>
      <c r="S128" s="40"/>
      <c r="T128" s="40"/>
      <c r="U128" s="40"/>
      <c r="V128" s="40"/>
      <c r="W128" s="40"/>
      <c r="X128" s="212"/>
    </row>
    <row r="129" spans="1:24" ht="18" customHeight="1" thickBot="1">
      <c r="A129" s="40">
        <f t="shared" ref="A129" si="13">A128+1</f>
        <v>53</v>
      </c>
      <c r="B129" s="40" t="s">
        <v>106</v>
      </c>
      <c r="C129" s="40"/>
      <c r="D129" s="40"/>
      <c r="E129" s="40"/>
      <c r="F129" s="40"/>
      <c r="G129" s="213">
        <v>5800</v>
      </c>
      <c r="H129" s="350">
        <f t="shared" si="7"/>
        <v>6020.4000000000005</v>
      </c>
      <c r="I129" s="40"/>
      <c r="J129" s="40"/>
      <c r="K129" s="222"/>
      <c r="L129" s="40"/>
      <c r="M129" s="40"/>
      <c r="N129" s="40"/>
      <c r="O129" s="40"/>
      <c r="P129" s="40"/>
      <c r="Q129" s="231"/>
      <c r="R129" s="40"/>
      <c r="S129" s="40"/>
      <c r="T129" s="40"/>
      <c r="U129" s="40"/>
      <c r="V129" s="40"/>
      <c r="W129" s="40"/>
      <c r="X129" s="212"/>
    </row>
    <row r="130" spans="1:24" ht="18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225"/>
      <c r="S130" s="40"/>
      <c r="T130" s="40"/>
      <c r="U130" s="40"/>
      <c r="V130" s="40"/>
      <c r="W130" s="40"/>
    </row>
    <row r="131" spans="1:24" ht="18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</row>
    <row r="132" spans="1:24" ht="18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</row>
    <row r="133" spans="1:24" ht="18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220" t="s">
        <v>792</v>
      </c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</row>
    <row r="134" spans="1:24" ht="18" customHeight="1">
      <c r="A134" s="40"/>
      <c r="B134" s="220" t="s">
        <v>798</v>
      </c>
      <c r="C134" s="40"/>
      <c r="D134" s="40"/>
      <c r="E134" s="40"/>
      <c r="F134" s="40"/>
      <c r="G134" s="40"/>
      <c r="H134" s="40"/>
      <c r="I134" s="40"/>
      <c r="J134" s="220" t="s">
        <v>794</v>
      </c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</row>
    <row r="135" spans="1:24" ht="18" customHeight="1">
      <c r="A135" s="40"/>
      <c r="B135" s="220" t="s">
        <v>758</v>
      </c>
      <c r="C135" s="40"/>
      <c r="D135" s="40"/>
      <c r="E135" s="40"/>
      <c r="F135" s="40"/>
      <c r="G135" s="40"/>
      <c r="H135" s="40"/>
      <c r="I135" s="40"/>
      <c r="J135" s="220" t="s">
        <v>793</v>
      </c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</row>
    <row r="136" spans="1:24" ht="18" customHeight="1">
      <c r="A136" s="40"/>
      <c r="B136" s="220" t="s">
        <v>0</v>
      </c>
      <c r="C136" s="40"/>
      <c r="D136" s="40"/>
      <c r="E136" s="40"/>
      <c r="F136" s="40"/>
      <c r="G136" s="220"/>
      <c r="H136" s="40"/>
      <c r="I136" s="40"/>
      <c r="J136" s="220" t="s">
        <v>795</v>
      </c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</row>
    <row r="137" spans="1:24" ht="18" customHeight="1">
      <c r="A137" s="40"/>
      <c r="B137" s="220"/>
      <c r="C137" s="40"/>
      <c r="D137" s="40"/>
      <c r="E137" s="40"/>
      <c r="F137" s="40"/>
      <c r="G137" s="40" t="s">
        <v>761</v>
      </c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</row>
    <row r="138" spans="1:24" ht="18" customHeight="1" thickBot="1">
      <c r="A138" s="40"/>
      <c r="B138" s="233" t="s">
        <v>759</v>
      </c>
      <c r="C138" s="220" t="s">
        <v>760</v>
      </c>
      <c r="D138" s="234">
        <v>239000</v>
      </c>
      <c r="E138" s="223"/>
      <c r="F138" s="350">
        <f>D138*1.031</f>
        <v>246408.99999999997</v>
      </c>
      <c r="G138" s="220" t="s">
        <v>762</v>
      </c>
      <c r="H138" s="234">
        <v>243811</v>
      </c>
      <c r="I138" s="223"/>
      <c r="J138" s="350">
        <f>H138*1.031</f>
        <v>251369.14099999997</v>
      </c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</row>
    <row r="139" spans="1:24" ht="18" customHeight="1">
      <c r="A139" s="40"/>
      <c r="B139" s="235"/>
      <c r="C139" s="220"/>
      <c r="D139" s="40"/>
      <c r="E139" s="40"/>
      <c r="F139" s="40"/>
      <c r="G139" s="22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</row>
    <row r="140" spans="1:24" ht="18" customHeight="1" thickBot="1">
      <c r="A140" s="40"/>
      <c r="B140" s="235" t="s">
        <v>759</v>
      </c>
      <c r="C140" s="220" t="s">
        <v>763</v>
      </c>
      <c r="D140" s="234">
        <v>245000</v>
      </c>
      <c r="E140" s="223"/>
      <c r="F140" s="350">
        <f>D140*1.031</f>
        <v>252594.99999999997</v>
      </c>
      <c r="G140" s="220" t="s">
        <v>764</v>
      </c>
      <c r="H140" s="236" t="s">
        <v>32</v>
      </c>
      <c r="I140" s="223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</row>
    <row r="141" spans="1:24" ht="18" customHeight="1">
      <c r="A141" s="40"/>
      <c r="B141" s="237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</row>
    <row r="142" spans="1:24" ht="18" customHeight="1">
      <c r="A142" s="40"/>
      <c r="B142" s="237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</row>
    <row r="143" spans="1:24" ht="18" customHeight="1">
      <c r="A143" s="40"/>
      <c r="B143" s="238" t="s">
        <v>22</v>
      </c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</row>
    <row r="144" spans="1:24" ht="18" customHeight="1" thickBot="1">
      <c r="A144" s="40">
        <v>1</v>
      </c>
      <c r="B144" s="239" t="s">
        <v>23</v>
      </c>
      <c r="C144" s="240"/>
      <c r="D144" s="40"/>
      <c r="E144" s="40"/>
      <c r="F144" s="40"/>
      <c r="G144" s="241">
        <v>1200</v>
      </c>
      <c r="H144" s="350">
        <f t="shared" ref="H144:H156" si="14">G144*1.031</f>
        <v>1237.1999999999998</v>
      </c>
      <c r="I144" s="40">
        <v>64</v>
      </c>
      <c r="J144" s="225" t="s">
        <v>809</v>
      </c>
      <c r="K144" s="241">
        <v>195</v>
      </c>
      <c r="L144" s="350">
        <f t="shared" ref="L144:L193" si="15">K144*1.031</f>
        <v>201.04499999999999</v>
      </c>
      <c r="M144" s="40"/>
      <c r="N144">
        <v>132</v>
      </c>
      <c r="O144" t="s">
        <v>25</v>
      </c>
      <c r="Q144" s="269">
        <v>5500</v>
      </c>
      <c r="R144" s="350">
        <f t="shared" ref="R144:R191" si="16">Q144*1.031</f>
        <v>5670.4999999999991</v>
      </c>
      <c r="U144" s="40"/>
      <c r="V144" s="40"/>
      <c r="W144" s="40"/>
    </row>
    <row r="145" spans="1:23" ht="18" customHeight="1" thickBot="1">
      <c r="A145" s="40">
        <f>(A144+1)</f>
        <v>2</v>
      </c>
      <c r="B145" s="239" t="s">
        <v>26</v>
      </c>
      <c r="C145" s="240"/>
      <c r="D145" s="40"/>
      <c r="E145" s="40"/>
      <c r="F145" s="40"/>
      <c r="G145" s="241">
        <v>1000</v>
      </c>
      <c r="H145" s="350">
        <f t="shared" si="14"/>
        <v>1031</v>
      </c>
      <c r="I145" s="40">
        <f t="shared" ref="I145:I188" si="17">(I144+1)</f>
        <v>65</v>
      </c>
      <c r="J145" s="225" t="s">
        <v>69</v>
      </c>
      <c r="K145" s="241">
        <v>-125</v>
      </c>
      <c r="L145" s="350">
        <f t="shared" si="15"/>
        <v>-128.875</v>
      </c>
      <c r="M145" s="40"/>
      <c r="N145">
        <v>133</v>
      </c>
      <c r="O145" s="10" t="s">
        <v>28</v>
      </c>
      <c r="Q145" s="269">
        <v>9000</v>
      </c>
      <c r="R145" s="350">
        <f t="shared" si="16"/>
        <v>9279</v>
      </c>
      <c r="U145" s="40"/>
      <c r="V145" s="40"/>
      <c r="W145" s="40"/>
    </row>
    <row r="146" spans="1:23" ht="18" customHeight="1" thickBot="1">
      <c r="A146" s="40">
        <f t="shared" ref="A146:A192" si="18">(A145+1)</f>
        <v>3</v>
      </c>
      <c r="B146" s="239" t="s">
        <v>29</v>
      </c>
      <c r="C146" s="240"/>
      <c r="D146" s="40"/>
      <c r="E146" s="40"/>
      <c r="F146" s="40"/>
      <c r="G146" s="241">
        <v>700</v>
      </c>
      <c r="H146" s="350">
        <f t="shared" si="14"/>
        <v>721.69999999999993</v>
      </c>
      <c r="I146" s="40">
        <f t="shared" si="17"/>
        <v>66</v>
      </c>
      <c r="J146" s="225" t="s">
        <v>71</v>
      </c>
      <c r="K146" s="241">
        <v>495</v>
      </c>
      <c r="L146" s="350">
        <f t="shared" si="15"/>
        <v>510.34499999999997</v>
      </c>
      <c r="M146" s="40"/>
      <c r="N146">
        <v>134</v>
      </c>
      <c r="O146" s="12" t="s">
        <v>31</v>
      </c>
      <c r="P146" s="4"/>
      <c r="Q146" s="269">
        <v>1300</v>
      </c>
      <c r="R146" s="350">
        <f t="shared" si="16"/>
        <v>1340.3</v>
      </c>
      <c r="S146" t="s">
        <v>33</v>
      </c>
      <c r="U146" s="40"/>
      <c r="V146" s="40"/>
      <c r="W146" s="40"/>
    </row>
    <row r="147" spans="1:23" ht="18" customHeight="1" thickBot="1">
      <c r="A147" s="40">
        <f t="shared" si="18"/>
        <v>4</v>
      </c>
      <c r="B147" s="239" t="s">
        <v>34</v>
      </c>
      <c r="C147" s="240"/>
      <c r="D147" s="40"/>
      <c r="E147" s="40"/>
      <c r="F147" s="40"/>
      <c r="G147" s="241">
        <v>825</v>
      </c>
      <c r="H147" s="350">
        <f t="shared" si="14"/>
        <v>850.57499999999993</v>
      </c>
      <c r="I147" s="40">
        <f t="shared" si="17"/>
        <v>67</v>
      </c>
      <c r="J147" s="225" t="s">
        <v>73</v>
      </c>
      <c r="K147" s="241">
        <v>1100</v>
      </c>
      <c r="L147" s="350">
        <f t="shared" si="15"/>
        <v>1134.0999999999999</v>
      </c>
      <c r="M147" s="40"/>
      <c r="N147">
        <v>135</v>
      </c>
      <c r="O147" s="356" t="s">
        <v>36</v>
      </c>
      <c r="P147" s="19"/>
      <c r="Q147" s="269">
        <v>395</v>
      </c>
      <c r="R147" s="350">
        <f t="shared" si="16"/>
        <v>407.24499999999995</v>
      </c>
      <c r="S147" t="s">
        <v>33</v>
      </c>
      <c r="U147" s="40"/>
      <c r="V147" s="40"/>
      <c r="W147" s="40"/>
    </row>
    <row r="148" spans="1:23" ht="18" customHeight="1" thickBot="1">
      <c r="A148" s="40">
        <f t="shared" si="18"/>
        <v>5</v>
      </c>
      <c r="B148" s="239" t="s">
        <v>37</v>
      </c>
      <c r="C148" s="240"/>
      <c r="D148" s="40"/>
      <c r="E148" s="40"/>
      <c r="F148" s="40"/>
      <c r="G148" s="241">
        <v>1325</v>
      </c>
      <c r="H148" s="350">
        <f t="shared" si="14"/>
        <v>1366.0749999999998</v>
      </c>
      <c r="I148" s="40">
        <f t="shared" si="17"/>
        <v>68</v>
      </c>
      <c r="J148" s="225" t="s">
        <v>75</v>
      </c>
      <c r="K148" s="241">
        <v>80</v>
      </c>
      <c r="L148" s="350">
        <f t="shared" si="15"/>
        <v>82.47999999999999</v>
      </c>
      <c r="M148" s="40"/>
      <c r="N148">
        <v>136</v>
      </c>
      <c r="O148" s="109" t="s">
        <v>765</v>
      </c>
      <c r="P148" s="4"/>
      <c r="Q148" s="357">
        <v>1700</v>
      </c>
      <c r="R148" s="350">
        <f t="shared" si="16"/>
        <v>1752.6999999999998</v>
      </c>
      <c r="S148" t="s">
        <v>210</v>
      </c>
      <c r="U148" s="40"/>
      <c r="V148" s="40"/>
      <c r="W148" s="40"/>
    </row>
    <row r="149" spans="1:23" ht="18" customHeight="1" thickBot="1">
      <c r="A149" s="40">
        <v>6</v>
      </c>
      <c r="B149" s="239" t="s">
        <v>766</v>
      </c>
      <c r="C149" s="240"/>
      <c r="D149" s="40"/>
      <c r="E149" s="40"/>
      <c r="F149" s="40"/>
      <c r="G149" s="241">
        <v>1200</v>
      </c>
      <c r="H149" s="350">
        <f t="shared" si="14"/>
        <v>1237.1999999999998</v>
      </c>
      <c r="I149" s="40">
        <f t="shared" si="17"/>
        <v>69</v>
      </c>
      <c r="J149" s="225" t="s">
        <v>78</v>
      </c>
      <c r="K149" s="241">
        <v>725</v>
      </c>
      <c r="L149" s="350">
        <f t="shared" si="15"/>
        <v>747.47499999999991</v>
      </c>
      <c r="M149" s="40"/>
      <c r="N149">
        <f>N148+1</f>
        <v>137</v>
      </c>
      <c r="O149" t="s">
        <v>767</v>
      </c>
      <c r="Q149" s="357">
        <v>500</v>
      </c>
      <c r="R149" s="350">
        <f t="shared" si="16"/>
        <v>515.5</v>
      </c>
      <c r="U149" s="40"/>
      <c r="V149" s="40"/>
      <c r="W149" s="40"/>
    </row>
    <row r="150" spans="1:23" ht="18" customHeight="1" thickBot="1">
      <c r="A150" s="40">
        <v>7</v>
      </c>
      <c r="B150" s="239" t="s">
        <v>768</v>
      </c>
      <c r="C150" s="240"/>
      <c r="D150" s="40"/>
      <c r="E150" s="40"/>
      <c r="F150" s="40"/>
      <c r="G150" s="241">
        <v>850</v>
      </c>
      <c r="H150" s="350">
        <f t="shared" si="14"/>
        <v>876.34999999999991</v>
      </c>
      <c r="I150" s="40">
        <v>70</v>
      </c>
      <c r="J150" s="225" t="s">
        <v>82</v>
      </c>
      <c r="K150" s="241">
        <v>250</v>
      </c>
      <c r="L150" s="350">
        <f t="shared" si="15"/>
        <v>257.75</v>
      </c>
      <c r="M150" s="40"/>
      <c r="N150">
        <f t="shared" ref="N150:N155" si="19">N149+1</f>
        <v>138</v>
      </c>
      <c r="O150" t="s">
        <v>769</v>
      </c>
      <c r="Q150" s="357">
        <v>500</v>
      </c>
      <c r="R150" s="350">
        <f t="shared" si="16"/>
        <v>515.5</v>
      </c>
      <c r="U150" s="40"/>
      <c r="V150" s="40"/>
      <c r="W150" s="40"/>
    </row>
    <row r="151" spans="1:23" ht="18" customHeight="1" thickBot="1">
      <c r="A151" s="40">
        <v>8</v>
      </c>
      <c r="B151" s="239" t="s">
        <v>39</v>
      </c>
      <c r="C151" s="240"/>
      <c r="D151" s="40"/>
      <c r="E151" s="40"/>
      <c r="F151" s="40"/>
      <c r="G151" s="241">
        <v>1675</v>
      </c>
      <c r="H151" s="350">
        <f t="shared" si="14"/>
        <v>1726.925</v>
      </c>
      <c r="I151" s="40">
        <f t="shared" si="17"/>
        <v>71</v>
      </c>
      <c r="J151" s="225" t="s">
        <v>84</v>
      </c>
      <c r="K151" s="241">
        <v>90</v>
      </c>
      <c r="L151" s="350">
        <f t="shared" si="15"/>
        <v>92.789999999999992</v>
      </c>
      <c r="M151" s="40"/>
      <c r="N151">
        <f t="shared" si="19"/>
        <v>139</v>
      </c>
      <c r="O151" t="s">
        <v>771</v>
      </c>
      <c r="Q151" s="357">
        <v>1750</v>
      </c>
      <c r="R151" s="350">
        <f t="shared" si="16"/>
        <v>1804.2499999999998</v>
      </c>
      <c r="U151" s="40"/>
      <c r="V151" s="40"/>
      <c r="W151" s="40"/>
    </row>
    <row r="152" spans="1:23" ht="18" customHeight="1" thickBot="1">
      <c r="A152" s="40">
        <f t="shared" si="18"/>
        <v>9</v>
      </c>
      <c r="B152" s="239" t="s">
        <v>41</v>
      </c>
      <c r="C152" s="240"/>
      <c r="D152" s="40"/>
      <c r="E152" s="40"/>
      <c r="F152" s="40"/>
      <c r="G152" s="241">
        <v>1375</v>
      </c>
      <c r="H152" s="350">
        <f t="shared" si="14"/>
        <v>1417.6249999999998</v>
      </c>
      <c r="I152" s="40">
        <f t="shared" si="17"/>
        <v>72</v>
      </c>
      <c r="J152" s="225" t="s">
        <v>86</v>
      </c>
      <c r="K152" s="241">
        <v>800</v>
      </c>
      <c r="L152" s="350">
        <f t="shared" si="15"/>
        <v>824.8</v>
      </c>
      <c r="M152" s="40"/>
      <c r="N152">
        <f t="shared" si="19"/>
        <v>140</v>
      </c>
      <c r="O152" t="s">
        <v>772</v>
      </c>
      <c r="Q152" s="357">
        <v>6500</v>
      </c>
      <c r="R152" s="350">
        <f t="shared" si="16"/>
        <v>6701.4999999999991</v>
      </c>
      <c r="U152" s="40"/>
      <c r="V152" s="40"/>
      <c r="W152" s="40"/>
    </row>
    <row r="153" spans="1:23" ht="18" customHeight="1" thickBot="1">
      <c r="A153" s="40">
        <f>(A152+1)</f>
        <v>10</v>
      </c>
      <c r="B153" s="239" t="s">
        <v>43</v>
      </c>
      <c r="C153" s="240"/>
      <c r="D153" s="40"/>
      <c r="E153" s="40"/>
      <c r="F153" s="40"/>
      <c r="G153" s="241">
        <v>1100</v>
      </c>
      <c r="H153" s="350">
        <f t="shared" si="14"/>
        <v>1134.0999999999999</v>
      </c>
      <c r="I153" s="229">
        <f t="shared" si="17"/>
        <v>73</v>
      </c>
      <c r="J153" s="228" t="s">
        <v>88</v>
      </c>
      <c r="K153" s="241">
        <v>500</v>
      </c>
      <c r="L153" s="350">
        <f t="shared" si="15"/>
        <v>515.5</v>
      </c>
      <c r="M153" s="40"/>
      <c r="N153">
        <f t="shared" si="19"/>
        <v>141</v>
      </c>
      <c r="O153" t="s">
        <v>773</v>
      </c>
      <c r="Q153" s="357">
        <v>60</v>
      </c>
      <c r="R153" s="350">
        <f t="shared" si="16"/>
        <v>61.859999999999992</v>
      </c>
      <c r="S153" t="s">
        <v>774</v>
      </c>
      <c r="U153" s="40"/>
      <c r="V153" s="40"/>
      <c r="W153" s="40"/>
    </row>
    <row r="154" spans="1:23" ht="18" customHeight="1" thickBot="1">
      <c r="A154" s="40">
        <f t="shared" si="18"/>
        <v>11</v>
      </c>
      <c r="B154" s="239" t="s">
        <v>45</v>
      </c>
      <c r="C154" s="240"/>
      <c r="D154" s="40"/>
      <c r="E154" s="40"/>
      <c r="F154" s="40"/>
      <c r="G154" s="241">
        <v>-120</v>
      </c>
      <c r="H154" s="350">
        <f t="shared" si="14"/>
        <v>-123.71999999999998</v>
      </c>
      <c r="I154" s="229">
        <f t="shared" si="17"/>
        <v>74</v>
      </c>
      <c r="J154" s="229" t="s">
        <v>90</v>
      </c>
      <c r="K154" s="241">
        <v>375</v>
      </c>
      <c r="L154" s="350">
        <f t="shared" si="15"/>
        <v>386.62499999999994</v>
      </c>
      <c r="M154" s="40"/>
      <c r="N154">
        <f t="shared" si="19"/>
        <v>142</v>
      </c>
      <c r="O154" t="s">
        <v>980</v>
      </c>
      <c r="Q154" s="357">
        <v>20000</v>
      </c>
      <c r="R154" s="350">
        <f t="shared" si="16"/>
        <v>20620</v>
      </c>
      <c r="U154" s="40"/>
      <c r="V154" s="40"/>
      <c r="W154" s="40"/>
    </row>
    <row r="155" spans="1:23" ht="18" customHeight="1" thickBot="1">
      <c r="A155" s="40">
        <f t="shared" si="18"/>
        <v>12</v>
      </c>
      <c r="B155" s="239" t="s">
        <v>47</v>
      </c>
      <c r="C155" s="240"/>
      <c r="D155" s="40"/>
      <c r="E155" s="40"/>
      <c r="F155" s="40"/>
      <c r="G155" s="241">
        <v>700</v>
      </c>
      <c r="H155" s="350">
        <f t="shared" si="14"/>
        <v>721.69999999999993</v>
      </c>
      <c r="I155" s="229">
        <f t="shared" si="17"/>
        <v>75</v>
      </c>
      <c r="J155" s="228" t="s">
        <v>92</v>
      </c>
      <c r="K155" s="242" t="s">
        <v>208</v>
      </c>
      <c r="L155" s="350"/>
      <c r="M155" s="40"/>
      <c r="N155">
        <f t="shared" si="19"/>
        <v>143</v>
      </c>
      <c r="O155" t="s">
        <v>981</v>
      </c>
      <c r="Q155" s="357">
        <v>30000</v>
      </c>
      <c r="R155" s="350">
        <f t="shared" si="16"/>
        <v>30929.999999999996</v>
      </c>
      <c r="U155" s="40"/>
      <c r="V155" s="40"/>
      <c r="W155" s="40"/>
    </row>
    <row r="156" spans="1:23" ht="18" customHeight="1" thickBot="1">
      <c r="A156" s="40">
        <f t="shared" si="18"/>
        <v>13</v>
      </c>
      <c r="B156" s="243" t="s">
        <v>211</v>
      </c>
      <c r="C156" s="240"/>
      <c r="D156" s="40"/>
      <c r="E156" s="40"/>
      <c r="F156" s="40"/>
      <c r="G156" s="241">
        <v>700</v>
      </c>
      <c r="H156" s="350">
        <f t="shared" si="14"/>
        <v>721.69999999999993</v>
      </c>
      <c r="I156" s="229">
        <f t="shared" si="17"/>
        <v>76</v>
      </c>
      <c r="J156" s="229" t="s">
        <v>94</v>
      </c>
      <c r="K156" s="241">
        <v>170</v>
      </c>
      <c r="L156" s="350">
        <f t="shared" si="15"/>
        <v>175.26999999999998</v>
      </c>
      <c r="M156" s="40"/>
      <c r="O156" t="s">
        <v>982</v>
      </c>
      <c r="Q156" s="357">
        <v>65000</v>
      </c>
      <c r="R156" s="350">
        <f t="shared" si="16"/>
        <v>67015</v>
      </c>
      <c r="U156" s="40"/>
      <c r="V156" s="40"/>
      <c r="W156" s="40"/>
    </row>
    <row r="157" spans="1:23" ht="18" customHeight="1" thickBot="1">
      <c r="A157" s="40">
        <f t="shared" si="18"/>
        <v>14</v>
      </c>
      <c r="B157" s="239" t="s">
        <v>51</v>
      </c>
      <c r="C157" s="240"/>
      <c r="D157" s="40"/>
      <c r="E157" s="220"/>
      <c r="F157" s="40"/>
      <c r="G157" s="242" t="s">
        <v>208</v>
      </c>
      <c r="H157" s="350"/>
      <c r="I157" s="40">
        <f t="shared" si="17"/>
        <v>77</v>
      </c>
      <c r="J157" s="40" t="s">
        <v>96</v>
      </c>
      <c r="K157" s="241">
        <v>5750</v>
      </c>
      <c r="L157" s="350">
        <f t="shared" si="15"/>
        <v>5928.2499999999991</v>
      </c>
      <c r="M157" s="40"/>
      <c r="N157">
        <v>144</v>
      </c>
      <c r="O157" t="s">
        <v>778</v>
      </c>
      <c r="Q157" s="358" t="s">
        <v>983</v>
      </c>
      <c r="R157" s="350"/>
      <c r="U157" s="40"/>
      <c r="V157" s="40"/>
      <c r="W157" s="40"/>
    </row>
    <row r="158" spans="1:23" ht="18" customHeight="1" thickBot="1">
      <c r="A158" s="40">
        <f t="shared" si="18"/>
        <v>15</v>
      </c>
      <c r="B158" s="239" t="s">
        <v>53</v>
      </c>
      <c r="C158" s="240"/>
      <c r="D158" s="40"/>
      <c r="E158" s="220"/>
      <c r="F158" s="40"/>
      <c r="G158" s="242">
        <v>-150</v>
      </c>
      <c r="H158" s="350">
        <f t="shared" ref="H158:H192" si="20">G158*1.031</f>
        <v>-154.64999999999998</v>
      </c>
      <c r="I158" s="40">
        <v>78</v>
      </c>
      <c r="J158" s="225" t="s">
        <v>781</v>
      </c>
      <c r="K158" s="241">
        <v>6800</v>
      </c>
      <c r="L158" s="350">
        <f t="shared" si="15"/>
        <v>7010.7999999999993</v>
      </c>
      <c r="M158" s="40"/>
      <c r="N158">
        <v>145</v>
      </c>
      <c r="O158" t="s">
        <v>780</v>
      </c>
      <c r="Q158" s="357">
        <v>1500</v>
      </c>
      <c r="R158" s="350">
        <f t="shared" si="16"/>
        <v>1546.4999999999998</v>
      </c>
      <c r="U158" s="40"/>
      <c r="V158" s="40"/>
      <c r="W158" s="40"/>
    </row>
    <row r="159" spans="1:23" ht="18" customHeight="1" thickBot="1">
      <c r="A159" s="40">
        <f t="shared" si="18"/>
        <v>16</v>
      </c>
      <c r="B159" s="239" t="s">
        <v>55</v>
      </c>
      <c r="C159" s="240"/>
      <c r="D159" s="40"/>
      <c r="E159" s="220"/>
      <c r="F159" s="40"/>
      <c r="G159" s="241">
        <v>890</v>
      </c>
      <c r="H159" s="350">
        <f t="shared" si="20"/>
        <v>917.58999999999992</v>
      </c>
      <c r="I159" s="40">
        <f t="shared" si="17"/>
        <v>79</v>
      </c>
      <c r="J159" s="225" t="s">
        <v>783</v>
      </c>
      <c r="K159" s="241">
        <v>8230</v>
      </c>
      <c r="L159" s="350">
        <f t="shared" si="15"/>
        <v>8485.1299999999992</v>
      </c>
      <c r="M159" s="40"/>
      <c r="N159" s="359">
        <v>146</v>
      </c>
      <c r="O159" s="10" t="s">
        <v>787</v>
      </c>
      <c r="Q159" s="360" t="s">
        <v>209</v>
      </c>
      <c r="R159" s="350"/>
      <c r="U159" s="40"/>
      <c r="V159" s="40"/>
      <c r="W159" s="40"/>
    </row>
    <row r="160" spans="1:23" ht="18" customHeight="1" thickBot="1">
      <c r="A160" s="40">
        <f t="shared" si="18"/>
        <v>17</v>
      </c>
      <c r="B160" s="239" t="s">
        <v>58</v>
      </c>
      <c r="C160" s="240"/>
      <c r="D160" s="40"/>
      <c r="E160" s="40"/>
      <c r="F160" s="40"/>
      <c r="G160" s="241">
        <v>-150</v>
      </c>
      <c r="H160" s="350">
        <f t="shared" si="20"/>
        <v>-154.64999999999998</v>
      </c>
      <c r="I160" s="40">
        <v>80</v>
      </c>
      <c r="J160" s="225" t="s">
        <v>108</v>
      </c>
      <c r="K160" s="242">
        <v>400</v>
      </c>
      <c r="L160" s="350">
        <f t="shared" si="15"/>
        <v>412.4</v>
      </c>
      <c r="M160" s="40"/>
      <c r="N160" s="361">
        <v>147</v>
      </c>
      <c r="O160" s="11" t="s">
        <v>782</v>
      </c>
      <c r="Q160" s="357">
        <v>4975</v>
      </c>
      <c r="R160" s="350">
        <f t="shared" si="16"/>
        <v>5129.2249999999995</v>
      </c>
      <c r="U160" s="40"/>
      <c r="V160" s="40"/>
      <c r="W160" s="40"/>
    </row>
    <row r="161" spans="1:23" ht="18" customHeight="1" thickBot="1">
      <c r="A161" s="40">
        <f t="shared" si="18"/>
        <v>18</v>
      </c>
      <c r="B161" s="239" t="s">
        <v>60</v>
      </c>
      <c r="C161" s="240"/>
      <c r="D161" s="40"/>
      <c r="E161" s="40"/>
      <c r="F161" s="40"/>
      <c r="G161" s="241">
        <v>25</v>
      </c>
      <c r="H161" s="350">
        <f t="shared" si="20"/>
        <v>25.774999999999999</v>
      </c>
      <c r="I161" s="40">
        <f t="shared" si="17"/>
        <v>81</v>
      </c>
      <c r="J161" s="225" t="s">
        <v>110</v>
      </c>
      <c r="K161" s="241">
        <v>900</v>
      </c>
      <c r="L161" s="350">
        <f t="shared" si="15"/>
        <v>927.9</v>
      </c>
      <c r="M161" s="40"/>
      <c r="N161" s="361">
        <v>148</v>
      </c>
      <c r="O161" s="11" t="s">
        <v>784</v>
      </c>
      <c r="Q161" s="357">
        <v>1750</v>
      </c>
      <c r="R161" s="350">
        <f t="shared" si="16"/>
        <v>1804.2499999999998</v>
      </c>
      <c r="U161" s="40"/>
      <c r="V161" s="40"/>
      <c r="W161" s="40"/>
    </row>
    <row r="162" spans="1:23" ht="18" customHeight="1" thickBot="1">
      <c r="A162" s="40">
        <f t="shared" si="18"/>
        <v>19</v>
      </c>
      <c r="B162" s="243" t="s">
        <v>62</v>
      </c>
      <c r="C162" s="240"/>
      <c r="D162" s="40"/>
      <c r="E162" s="220"/>
      <c r="F162" s="40"/>
      <c r="G162" s="241">
        <v>70</v>
      </c>
      <c r="H162" s="350">
        <f t="shared" si="20"/>
        <v>72.169999999999987</v>
      </c>
      <c r="I162" s="40">
        <f t="shared" si="17"/>
        <v>82</v>
      </c>
      <c r="J162" s="225" t="s">
        <v>112</v>
      </c>
      <c r="K162" s="242">
        <v>400</v>
      </c>
      <c r="L162" s="350">
        <f t="shared" si="15"/>
        <v>412.4</v>
      </c>
      <c r="M162" s="40"/>
      <c r="N162" s="361">
        <v>149</v>
      </c>
      <c r="O162" s="11" t="s">
        <v>785</v>
      </c>
      <c r="Q162" s="357">
        <v>375</v>
      </c>
      <c r="R162" s="350">
        <f t="shared" si="16"/>
        <v>386.62499999999994</v>
      </c>
      <c r="U162" s="40"/>
      <c r="V162" s="40"/>
      <c r="W162" s="40"/>
    </row>
    <row r="163" spans="1:23" ht="18" customHeight="1" thickBot="1">
      <c r="A163" s="40">
        <f t="shared" si="18"/>
        <v>20</v>
      </c>
      <c r="B163" s="243" t="s">
        <v>64</v>
      </c>
      <c r="C163" s="240"/>
      <c r="D163" s="40"/>
      <c r="E163" s="220"/>
      <c r="F163" s="40"/>
      <c r="G163" s="241">
        <v>100</v>
      </c>
      <c r="H163" s="350">
        <f t="shared" si="20"/>
        <v>103.1</v>
      </c>
      <c r="I163" s="40">
        <f t="shared" si="17"/>
        <v>83</v>
      </c>
      <c r="J163" s="40" t="s">
        <v>114</v>
      </c>
      <c r="K163" s="241">
        <v>5000</v>
      </c>
      <c r="L163" s="350">
        <f t="shared" si="15"/>
        <v>5155</v>
      </c>
      <c r="M163" s="40"/>
      <c r="N163" s="361">
        <v>150</v>
      </c>
      <c r="O163" s="11" t="s">
        <v>786</v>
      </c>
      <c r="Q163" s="357">
        <v>5350</v>
      </c>
      <c r="R163" s="350">
        <f t="shared" si="16"/>
        <v>5515.8499999999995</v>
      </c>
      <c r="U163" s="40"/>
      <c r="V163" s="40"/>
      <c r="W163" s="40"/>
    </row>
    <row r="164" spans="1:23" ht="18" customHeight="1" thickBot="1">
      <c r="A164" s="40">
        <f t="shared" si="18"/>
        <v>21</v>
      </c>
      <c r="B164" s="243" t="s">
        <v>66</v>
      </c>
      <c r="C164" s="240"/>
      <c r="D164" s="40"/>
      <c r="E164" s="220"/>
      <c r="F164" s="40"/>
      <c r="G164" s="241">
        <v>80</v>
      </c>
      <c r="H164" s="350">
        <f t="shared" si="20"/>
        <v>82.47999999999999</v>
      </c>
      <c r="I164" s="40">
        <f t="shared" si="17"/>
        <v>84</v>
      </c>
      <c r="J164" s="40" t="s">
        <v>116</v>
      </c>
      <c r="K164" s="241">
        <v>7000</v>
      </c>
      <c r="L164" s="350">
        <f t="shared" si="15"/>
        <v>7216.9999999999991</v>
      </c>
      <c r="M164" s="40"/>
      <c r="N164" s="361">
        <v>151</v>
      </c>
      <c r="O164" s="11" t="s">
        <v>984</v>
      </c>
      <c r="Q164" s="362">
        <v>1300</v>
      </c>
      <c r="R164" s="350">
        <f t="shared" si="16"/>
        <v>1340.3</v>
      </c>
      <c r="U164" s="40"/>
      <c r="V164" s="40"/>
      <c r="W164" s="40"/>
    </row>
    <row r="165" spans="1:23" ht="18" customHeight="1" thickBot="1">
      <c r="A165" s="40">
        <f t="shared" si="18"/>
        <v>22</v>
      </c>
      <c r="B165" s="243" t="s">
        <v>68</v>
      </c>
      <c r="C165" s="240"/>
      <c r="D165" s="40"/>
      <c r="E165" s="220"/>
      <c r="F165" s="40"/>
      <c r="G165" s="241">
        <v>125</v>
      </c>
      <c r="H165" s="350">
        <f t="shared" si="20"/>
        <v>128.875</v>
      </c>
      <c r="I165" s="40">
        <f t="shared" si="17"/>
        <v>85</v>
      </c>
      <c r="J165" s="40" t="s">
        <v>118</v>
      </c>
      <c r="K165" s="241">
        <v>9700</v>
      </c>
      <c r="L165" s="350">
        <f t="shared" si="15"/>
        <v>10000.699999999999</v>
      </c>
      <c r="M165" s="40"/>
      <c r="N165" s="359">
        <v>152</v>
      </c>
      <c r="O165" s="11" t="s">
        <v>985</v>
      </c>
      <c r="Q165" s="362">
        <v>12485</v>
      </c>
      <c r="R165" s="350">
        <f t="shared" si="16"/>
        <v>12872.035</v>
      </c>
      <c r="U165" s="40"/>
      <c r="V165" s="40"/>
      <c r="W165" s="40"/>
    </row>
    <row r="166" spans="1:23" ht="18" customHeight="1" thickBot="1">
      <c r="A166" s="40">
        <f t="shared" si="18"/>
        <v>23</v>
      </c>
      <c r="B166" s="243" t="s">
        <v>70</v>
      </c>
      <c r="C166" s="240"/>
      <c r="D166" s="40"/>
      <c r="E166" s="220"/>
      <c r="F166" s="40"/>
      <c r="G166" s="241">
        <v>85</v>
      </c>
      <c r="H166" s="350">
        <f t="shared" si="20"/>
        <v>87.634999999999991</v>
      </c>
      <c r="I166" s="40">
        <f t="shared" si="17"/>
        <v>86</v>
      </c>
      <c r="J166" s="40" t="s">
        <v>120</v>
      </c>
      <c r="K166" s="241">
        <v>600</v>
      </c>
      <c r="L166" s="350">
        <f t="shared" si="15"/>
        <v>618.59999999999991</v>
      </c>
      <c r="M166" s="40"/>
      <c r="N166" s="359">
        <v>153</v>
      </c>
      <c r="O166" s="363" t="s">
        <v>986</v>
      </c>
      <c r="Q166" s="362">
        <v>5000</v>
      </c>
      <c r="R166" s="350">
        <f t="shared" si="16"/>
        <v>5155</v>
      </c>
      <c r="U166" s="40"/>
      <c r="V166" s="40"/>
      <c r="W166" s="40"/>
    </row>
    <row r="167" spans="1:23" ht="18" customHeight="1" thickBot="1">
      <c r="A167" s="40">
        <f t="shared" si="18"/>
        <v>24</v>
      </c>
      <c r="B167" s="243" t="s">
        <v>72</v>
      </c>
      <c r="C167" s="240"/>
      <c r="D167" s="40"/>
      <c r="E167" s="220"/>
      <c r="F167" s="40"/>
      <c r="G167" s="241">
        <v>60</v>
      </c>
      <c r="H167" s="350">
        <f t="shared" si="20"/>
        <v>61.859999999999992</v>
      </c>
      <c r="I167" s="40">
        <f t="shared" si="17"/>
        <v>87</v>
      </c>
      <c r="J167" s="40" t="s">
        <v>122</v>
      </c>
      <c r="K167" s="241">
        <v>3750</v>
      </c>
      <c r="L167" s="350">
        <f t="shared" si="15"/>
        <v>3866.2499999999995</v>
      </c>
      <c r="M167" s="40"/>
      <c r="N167" s="359">
        <v>154</v>
      </c>
      <c r="O167" s="364" t="s">
        <v>987</v>
      </c>
      <c r="Q167" s="365">
        <v>3750</v>
      </c>
      <c r="R167" s="350">
        <f t="shared" si="16"/>
        <v>3866.2499999999995</v>
      </c>
      <c r="U167" s="40"/>
      <c r="V167" s="40"/>
      <c r="W167" s="40"/>
    </row>
    <row r="168" spans="1:23" ht="18" customHeight="1" thickBot="1">
      <c r="A168" s="40">
        <f t="shared" si="18"/>
        <v>25</v>
      </c>
      <c r="B168" s="243" t="s">
        <v>74</v>
      </c>
      <c r="C168" s="240"/>
      <c r="D168" s="40"/>
      <c r="E168" s="220"/>
      <c r="F168" s="40"/>
      <c r="G168" s="241">
        <v>110</v>
      </c>
      <c r="H168" s="350">
        <f t="shared" si="20"/>
        <v>113.41</v>
      </c>
      <c r="I168" s="40">
        <f t="shared" si="17"/>
        <v>88</v>
      </c>
      <c r="J168" s="40" t="s">
        <v>124</v>
      </c>
      <c r="K168" s="241">
        <v>4700</v>
      </c>
      <c r="L168" s="350">
        <f t="shared" si="15"/>
        <v>4845.7</v>
      </c>
      <c r="M168" s="40"/>
      <c r="N168" s="366">
        <v>155</v>
      </c>
      <c r="O168" s="364" t="s">
        <v>988</v>
      </c>
      <c r="Q168" s="365">
        <v>6500</v>
      </c>
      <c r="R168" s="350">
        <f t="shared" si="16"/>
        <v>6701.4999999999991</v>
      </c>
      <c r="U168" s="40"/>
      <c r="V168" s="40"/>
      <c r="W168" s="40"/>
    </row>
    <row r="169" spans="1:23" ht="18" customHeight="1" thickBot="1">
      <c r="A169" s="40">
        <f t="shared" si="18"/>
        <v>26</v>
      </c>
      <c r="B169" s="243" t="s">
        <v>76</v>
      </c>
      <c r="C169" s="240"/>
      <c r="D169" s="40"/>
      <c r="E169" s="220"/>
      <c r="F169" s="40"/>
      <c r="G169" s="241">
        <v>1700</v>
      </c>
      <c r="H169" s="350">
        <f t="shared" si="20"/>
        <v>1752.6999999999998</v>
      </c>
      <c r="I169" s="40">
        <f t="shared" si="17"/>
        <v>89</v>
      </c>
      <c r="J169" s="40" t="s">
        <v>126</v>
      </c>
      <c r="K169" s="241">
        <v>6300</v>
      </c>
      <c r="L169" s="350">
        <f t="shared" si="15"/>
        <v>6495.2999999999993</v>
      </c>
      <c r="M169" s="40"/>
      <c r="N169" s="366">
        <v>156</v>
      </c>
      <c r="O169" s="364" t="s">
        <v>989</v>
      </c>
      <c r="Q169" s="365">
        <v>5000</v>
      </c>
      <c r="R169" s="350">
        <f t="shared" si="16"/>
        <v>5155</v>
      </c>
      <c r="U169" s="40"/>
      <c r="V169" s="40"/>
      <c r="W169" s="40"/>
    </row>
    <row r="170" spans="1:23" ht="18" customHeight="1" thickBot="1">
      <c r="A170" s="40">
        <f t="shared" si="18"/>
        <v>27</v>
      </c>
      <c r="B170" s="244" t="s">
        <v>79</v>
      </c>
      <c r="C170" s="240"/>
      <c r="D170" s="40"/>
      <c r="E170" s="220"/>
      <c r="F170" s="40"/>
      <c r="G170" s="241">
        <v>650</v>
      </c>
      <c r="H170" s="350">
        <f t="shared" si="20"/>
        <v>670.15</v>
      </c>
      <c r="I170" s="40">
        <f t="shared" si="17"/>
        <v>90</v>
      </c>
      <c r="J170" s="40" t="s">
        <v>128</v>
      </c>
      <c r="K170" s="241">
        <v>8800</v>
      </c>
      <c r="L170" s="350">
        <f t="shared" si="15"/>
        <v>9072.7999999999993</v>
      </c>
      <c r="M170" s="40"/>
      <c r="N170" s="366">
        <v>157</v>
      </c>
      <c r="O170" s="364" t="s">
        <v>990</v>
      </c>
      <c r="Q170" s="365">
        <v>43000</v>
      </c>
      <c r="R170" s="350">
        <f t="shared" si="16"/>
        <v>44333</v>
      </c>
      <c r="U170" s="40"/>
      <c r="V170" s="40"/>
      <c r="W170" s="40"/>
    </row>
    <row r="171" spans="1:23" ht="18" customHeight="1" thickBot="1">
      <c r="A171" s="40">
        <f t="shared" si="18"/>
        <v>28</v>
      </c>
      <c r="B171" s="245" t="s">
        <v>789</v>
      </c>
      <c r="C171" s="240"/>
      <c r="D171" s="40"/>
      <c r="E171" s="40"/>
      <c r="F171" s="40"/>
      <c r="G171" s="241">
        <v>650</v>
      </c>
      <c r="H171" s="350">
        <f t="shared" si="20"/>
        <v>670.15</v>
      </c>
      <c r="I171" s="40">
        <f t="shared" si="17"/>
        <v>91</v>
      </c>
      <c r="J171" s="225" t="s">
        <v>130</v>
      </c>
      <c r="K171" s="241">
        <v>3975</v>
      </c>
      <c r="L171" s="350">
        <f t="shared" si="15"/>
        <v>4098.2249999999995</v>
      </c>
      <c r="M171" s="40"/>
      <c r="N171" s="366">
        <v>158</v>
      </c>
      <c r="O171" s="364" t="s">
        <v>991</v>
      </c>
      <c r="Q171" s="365">
        <v>1175</v>
      </c>
      <c r="R171" s="350">
        <f t="shared" si="16"/>
        <v>1211.425</v>
      </c>
      <c r="U171" s="40"/>
      <c r="V171" s="40"/>
      <c r="W171" s="40"/>
    </row>
    <row r="172" spans="1:23" ht="18" customHeight="1" thickBot="1">
      <c r="A172" s="40">
        <f t="shared" si="18"/>
        <v>29</v>
      </c>
      <c r="B172" s="246" t="s">
        <v>978</v>
      </c>
      <c r="C172" s="40"/>
      <c r="D172" s="40"/>
      <c r="E172" s="40"/>
      <c r="F172" s="40"/>
      <c r="G172" s="241">
        <v>175</v>
      </c>
      <c r="H172" s="350">
        <f t="shared" si="20"/>
        <v>180.42499999999998</v>
      </c>
      <c r="I172" s="40">
        <f t="shared" si="17"/>
        <v>92</v>
      </c>
      <c r="J172" s="225" t="s">
        <v>132</v>
      </c>
      <c r="K172" s="241">
        <v>5950</v>
      </c>
      <c r="L172" s="350">
        <f t="shared" si="15"/>
        <v>6134.45</v>
      </c>
      <c r="M172" s="40"/>
      <c r="N172" s="366">
        <v>159</v>
      </c>
      <c r="O172" s="364" t="s">
        <v>992</v>
      </c>
      <c r="Q172" s="365">
        <v>2000</v>
      </c>
      <c r="R172" s="350">
        <f t="shared" si="16"/>
        <v>2062</v>
      </c>
      <c r="U172" s="40"/>
      <c r="V172" s="40"/>
      <c r="W172" s="40"/>
    </row>
    <row r="173" spans="1:23" ht="18" customHeight="1" thickBot="1">
      <c r="A173" s="40">
        <f t="shared" si="18"/>
        <v>30</v>
      </c>
      <c r="B173" s="247" t="s">
        <v>85</v>
      </c>
      <c r="C173" s="40"/>
      <c r="D173" s="40"/>
      <c r="E173" s="40"/>
      <c r="F173" s="40"/>
      <c r="G173" s="241">
        <v>715</v>
      </c>
      <c r="H173" s="350">
        <f t="shared" si="20"/>
        <v>737.16499999999996</v>
      </c>
      <c r="I173" s="40">
        <f t="shared" si="17"/>
        <v>93</v>
      </c>
      <c r="J173" s="225" t="s">
        <v>134</v>
      </c>
      <c r="K173" s="241">
        <v>1950</v>
      </c>
      <c r="L173" s="350">
        <f t="shared" si="15"/>
        <v>2010.4499999999998</v>
      </c>
      <c r="M173" s="40"/>
      <c r="N173" s="366">
        <v>160</v>
      </c>
      <c r="O173" s="364" t="s">
        <v>993</v>
      </c>
      <c r="Q173" s="365">
        <v>4100</v>
      </c>
      <c r="R173" s="350">
        <f t="shared" si="16"/>
        <v>4227.0999999999995</v>
      </c>
      <c r="U173" s="40"/>
      <c r="V173" s="40"/>
      <c r="W173" s="40"/>
    </row>
    <row r="174" spans="1:23" ht="18" customHeight="1" thickBot="1">
      <c r="A174" s="40">
        <f t="shared" si="18"/>
        <v>31</v>
      </c>
      <c r="B174" s="247" t="s">
        <v>87</v>
      </c>
      <c r="C174" s="40"/>
      <c r="D174" s="40"/>
      <c r="E174" s="40"/>
      <c r="F174" s="40"/>
      <c r="G174" s="241">
        <v>760</v>
      </c>
      <c r="H174" s="350">
        <f t="shared" si="20"/>
        <v>783.56</v>
      </c>
      <c r="I174" s="40">
        <v>95</v>
      </c>
      <c r="J174" s="40" t="s">
        <v>138</v>
      </c>
      <c r="K174" s="241">
        <v>5950</v>
      </c>
      <c r="L174" s="350">
        <f t="shared" si="15"/>
        <v>6134.45</v>
      </c>
      <c r="M174" s="40"/>
      <c r="N174" s="366">
        <v>161</v>
      </c>
      <c r="O174" s="364" t="s">
        <v>994</v>
      </c>
      <c r="Q174" s="365">
        <v>75000</v>
      </c>
      <c r="R174" s="350">
        <f t="shared" si="16"/>
        <v>77325</v>
      </c>
      <c r="U174" s="40"/>
      <c r="V174" s="40"/>
      <c r="W174" s="40"/>
    </row>
    <row r="175" spans="1:23" ht="18" customHeight="1" thickBot="1">
      <c r="A175" s="40">
        <f t="shared" si="18"/>
        <v>32</v>
      </c>
      <c r="B175" s="247" t="s">
        <v>89</v>
      </c>
      <c r="C175" s="40"/>
      <c r="D175" s="40"/>
      <c r="E175" s="40"/>
      <c r="F175" s="40"/>
      <c r="G175" s="241">
        <v>995</v>
      </c>
      <c r="H175" s="350">
        <f t="shared" si="20"/>
        <v>1025.845</v>
      </c>
      <c r="I175" s="40">
        <f t="shared" si="17"/>
        <v>96</v>
      </c>
      <c r="J175" s="40" t="s">
        <v>140</v>
      </c>
      <c r="K175" s="241">
        <v>1950</v>
      </c>
      <c r="L175" s="350">
        <f t="shared" si="15"/>
        <v>2010.4499999999998</v>
      </c>
      <c r="M175" s="40"/>
      <c r="N175" s="366">
        <v>162</v>
      </c>
      <c r="O175" s="364" t="s">
        <v>995</v>
      </c>
      <c r="Q175" s="365">
        <v>103750</v>
      </c>
      <c r="R175" s="350">
        <f t="shared" si="16"/>
        <v>106966.24999999999</v>
      </c>
      <c r="U175" s="40"/>
      <c r="V175" s="40"/>
      <c r="W175" s="40"/>
    </row>
    <row r="176" spans="1:23" ht="18" customHeight="1" thickBot="1">
      <c r="A176" s="40">
        <f t="shared" si="18"/>
        <v>33</v>
      </c>
      <c r="B176" s="248" t="s">
        <v>91</v>
      </c>
      <c r="C176" s="40"/>
      <c r="D176" s="40"/>
      <c r="E176" s="40"/>
      <c r="F176" s="40"/>
      <c r="G176" s="241">
        <v>-120</v>
      </c>
      <c r="H176" s="350">
        <f t="shared" si="20"/>
        <v>-123.71999999999998</v>
      </c>
      <c r="I176" s="40">
        <f t="shared" si="17"/>
        <v>97</v>
      </c>
      <c r="J176" s="40" t="s">
        <v>142</v>
      </c>
      <c r="K176" s="241">
        <v>8695</v>
      </c>
      <c r="L176" s="350">
        <f t="shared" si="15"/>
        <v>8964.5450000000001</v>
      </c>
      <c r="M176" s="40"/>
      <c r="N176" s="366">
        <v>163</v>
      </c>
      <c r="O176" s="364" t="s">
        <v>996</v>
      </c>
      <c r="Q176" s="365">
        <v>4950</v>
      </c>
      <c r="R176" s="350">
        <f t="shared" si="16"/>
        <v>5103.45</v>
      </c>
      <c r="U176" s="40"/>
      <c r="V176" s="40"/>
      <c r="W176" s="40"/>
    </row>
    <row r="177" spans="1:23" ht="18" customHeight="1" thickBot="1">
      <c r="A177" s="40">
        <f t="shared" si="18"/>
        <v>34</v>
      </c>
      <c r="B177" s="248" t="s">
        <v>93</v>
      </c>
      <c r="C177" s="40"/>
      <c r="D177" s="40"/>
      <c r="E177" s="40"/>
      <c r="F177" s="40"/>
      <c r="G177" s="241">
        <v>-120</v>
      </c>
      <c r="H177" s="350">
        <f t="shared" si="20"/>
        <v>-123.71999999999998</v>
      </c>
      <c r="I177" s="40">
        <f t="shared" si="17"/>
        <v>98</v>
      </c>
      <c r="J177" s="225" t="s">
        <v>144</v>
      </c>
      <c r="K177" s="241">
        <v>4500</v>
      </c>
      <c r="L177" s="350">
        <f t="shared" si="15"/>
        <v>4639.5</v>
      </c>
      <c r="M177" s="40"/>
      <c r="N177" s="366">
        <v>164</v>
      </c>
      <c r="O177" s="364" t="s">
        <v>997</v>
      </c>
      <c r="Q177" s="365">
        <v>8350</v>
      </c>
      <c r="R177" s="350">
        <f t="shared" si="16"/>
        <v>8608.8499999999985</v>
      </c>
      <c r="U177" s="40"/>
      <c r="V177" s="40"/>
      <c r="W177" s="40"/>
    </row>
    <row r="178" spans="1:23" ht="18" customHeight="1" thickBot="1">
      <c r="A178" s="40">
        <f t="shared" si="18"/>
        <v>35</v>
      </c>
      <c r="B178" s="248" t="s">
        <v>95</v>
      </c>
      <c r="C178" s="40"/>
      <c r="D178" s="40"/>
      <c r="E178" s="40"/>
      <c r="F178" s="40"/>
      <c r="G178" s="241">
        <v>1700</v>
      </c>
      <c r="H178" s="350">
        <f t="shared" si="20"/>
        <v>1752.6999999999998</v>
      </c>
      <c r="I178" s="40">
        <f t="shared" si="17"/>
        <v>99</v>
      </c>
      <c r="J178" s="228" t="s">
        <v>146</v>
      </c>
      <c r="K178" s="241">
        <v>8750</v>
      </c>
      <c r="L178" s="350">
        <f t="shared" si="15"/>
        <v>9021.25</v>
      </c>
      <c r="M178" s="40"/>
      <c r="N178" s="366">
        <v>165</v>
      </c>
      <c r="O178" s="364" t="s">
        <v>998</v>
      </c>
      <c r="Q178" s="367" t="s">
        <v>999</v>
      </c>
      <c r="R178" s="350"/>
      <c r="U178" s="40"/>
      <c r="V178" s="40"/>
      <c r="W178" s="40"/>
    </row>
    <row r="179" spans="1:23" ht="18" customHeight="1" thickBot="1">
      <c r="A179" s="40">
        <f t="shared" si="18"/>
        <v>36</v>
      </c>
      <c r="B179" s="248" t="s">
        <v>97</v>
      </c>
      <c r="C179" s="40"/>
      <c r="D179" s="40"/>
      <c r="E179" s="40"/>
      <c r="F179" s="40"/>
      <c r="G179" s="241">
        <v>3300</v>
      </c>
      <c r="H179" s="350">
        <f t="shared" si="20"/>
        <v>3402.2999999999997</v>
      </c>
      <c r="I179" s="40">
        <f>(I178+1)</f>
        <v>100</v>
      </c>
      <c r="J179" s="225" t="s">
        <v>148</v>
      </c>
      <c r="K179" s="241">
        <v>1700</v>
      </c>
      <c r="L179" s="350">
        <f t="shared" si="15"/>
        <v>1752.6999999999998</v>
      </c>
      <c r="M179" s="40"/>
      <c r="N179" s="359">
        <v>166</v>
      </c>
      <c r="O179" s="364" t="s">
        <v>1000</v>
      </c>
      <c r="Q179" s="367" t="s">
        <v>1001</v>
      </c>
      <c r="R179" s="350"/>
      <c r="S179" s="4"/>
      <c r="U179" s="40"/>
      <c r="V179" s="40"/>
      <c r="W179" s="40"/>
    </row>
    <row r="180" spans="1:23" ht="18" customHeight="1" thickBot="1">
      <c r="A180" s="40">
        <v>37</v>
      </c>
      <c r="B180" s="248" t="s">
        <v>103</v>
      </c>
      <c r="C180" s="40"/>
      <c r="D180" s="40"/>
      <c r="E180" s="40"/>
      <c r="F180" s="40"/>
      <c r="G180" s="241">
        <v>38</v>
      </c>
      <c r="H180" s="350">
        <f t="shared" si="20"/>
        <v>39.177999999999997</v>
      </c>
      <c r="I180" s="40">
        <f t="shared" si="17"/>
        <v>101</v>
      </c>
      <c r="J180" s="40" t="s">
        <v>150</v>
      </c>
      <c r="K180" s="250">
        <v>2100</v>
      </c>
      <c r="L180" s="350">
        <f t="shared" si="15"/>
        <v>2165.1</v>
      </c>
      <c r="M180" s="40"/>
      <c r="N180" s="361">
        <v>167</v>
      </c>
      <c r="O180" s="364" t="s">
        <v>1002</v>
      </c>
      <c r="Q180" s="367" t="s">
        <v>1003</v>
      </c>
      <c r="R180" s="350"/>
      <c r="S180" s="4"/>
      <c r="U180" s="40"/>
      <c r="V180" s="40"/>
      <c r="W180" s="40"/>
    </row>
    <row r="181" spans="1:23" ht="18" customHeight="1" thickBot="1">
      <c r="A181" s="40">
        <f t="shared" si="18"/>
        <v>38</v>
      </c>
      <c r="B181" s="248" t="s">
        <v>105</v>
      </c>
      <c r="C181" s="40"/>
      <c r="D181" s="40"/>
      <c r="E181" s="40"/>
      <c r="F181" s="40"/>
      <c r="G181" s="241">
        <v>38</v>
      </c>
      <c r="H181" s="350">
        <f t="shared" si="20"/>
        <v>39.177999999999997</v>
      </c>
      <c r="I181" s="40">
        <f t="shared" si="17"/>
        <v>102</v>
      </c>
      <c r="J181" s="40" t="s">
        <v>152</v>
      </c>
      <c r="K181" s="250">
        <v>1800</v>
      </c>
      <c r="L181" s="350">
        <f t="shared" si="15"/>
        <v>1855.8</v>
      </c>
      <c r="M181" s="40"/>
      <c r="N181" s="359">
        <v>168</v>
      </c>
      <c r="O181" s="364" t="s">
        <v>1004</v>
      </c>
      <c r="Q181" s="367" t="s">
        <v>1005</v>
      </c>
      <c r="R181" s="350"/>
      <c r="S181" s="4"/>
      <c r="U181" s="40"/>
      <c r="V181" s="40"/>
      <c r="W181" s="40"/>
    </row>
    <row r="182" spans="1:23" ht="18" customHeight="1" thickBot="1">
      <c r="A182" s="40">
        <f t="shared" si="18"/>
        <v>39</v>
      </c>
      <c r="B182" s="248" t="s">
        <v>796</v>
      </c>
      <c r="C182" s="40"/>
      <c r="D182" s="40"/>
      <c r="E182" s="40"/>
      <c r="F182" s="40"/>
      <c r="G182" s="241">
        <v>-60</v>
      </c>
      <c r="H182" s="350">
        <f t="shared" si="20"/>
        <v>-61.859999999999992</v>
      </c>
      <c r="I182" s="40">
        <f t="shared" si="17"/>
        <v>103</v>
      </c>
      <c r="J182" s="40" t="s">
        <v>154</v>
      </c>
      <c r="K182" s="250">
        <v>2500</v>
      </c>
      <c r="L182" s="350">
        <f t="shared" si="15"/>
        <v>2577.5</v>
      </c>
      <c r="M182" s="40"/>
      <c r="N182" s="366">
        <v>169</v>
      </c>
      <c r="O182" s="364" t="s">
        <v>1006</v>
      </c>
      <c r="Q182" s="367" t="s">
        <v>1007</v>
      </c>
      <c r="R182" s="350"/>
      <c r="S182" s="4"/>
      <c r="U182" s="40"/>
      <c r="V182" s="40"/>
      <c r="W182" s="40"/>
    </row>
    <row r="183" spans="1:23" ht="18" customHeight="1" thickBot="1">
      <c r="A183" s="40">
        <f t="shared" si="18"/>
        <v>40</v>
      </c>
      <c r="B183" s="248" t="s">
        <v>109</v>
      </c>
      <c r="C183" s="40"/>
      <c r="D183" s="40"/>
      <c r="E183" s="40"/>
      <c r="F183" s="40"/>
      <c r="G183" s="241">
        <v>695</v>
      </c>
      <c r="H183" s="350">
        <f t="shared" si="20"/>
        <v>716.54499999999996</v>
      </c>
      <c r="I183" s="40">
        <f t="shared" si="17"/>
        <v>104</v>
      </c>
      <c r="J183" s="40" t="s">
        <v>156</v>
      </c>
      <c r="K183" s="250">
        <v>2200</v>
      </c>
      <c r="L183" s="350">
        <f t="shared" si="15"/>
        <v>2268.1999999999998</v>
      </c>
      <c r="M183" s="40"/>
      <c r="N183" s="366">
        <v>170</v>
      </c>
      <c r="O183" s="364" t="s">
        <v>1008</v>
      </c>
      <c r="Q183" s="367" t="s">
        <v>1009</v>
      </c>
      <c r="R183" s="350"/>
      <c r="S183" s="4"/>
      <c r="U183" s="40"/>
      <c r="V183" s="40"/>
      <c r="W183" s="40"/>
    </row>
    <row r="184" spans="1:23" ht="18" customHeight="1" thickBot="1">
      <c r="A184" s="40">
        <f t="shared" si="18"/>
        <v>41</v>
      </c>
      <c r="B184" s="248" t="s">
        <v>111</v>
      </c>
      <c r="C184" s="40"/>
      <c r="D184" s="40"/>
      <c r="E184" s="40"/>
      <c r="F184" s="40"/>
      <c r="G184" s="241">
        <v>1500</v>
      </c>
      <c r="H184" s="350">
        <f t="shared" si="20"/>
        <v>1546.4999999999998</v>
      </c>
      <c r="I184" s="40">
        <f>(I183+1)</f>
        <v>105</v>
      </c>
      <c r="J184" s="40" t="s">
        <v>157</v>
      </c>
      <c r="K184" s="250">
        <v>2800</v>
      </c>
      <c r="L184" s="350">
        <f t="shared" si="15"/>
        <v>2886.7999999999997</v>
      </c>
      <c r="M184" s="40"/>
      <c r="N184" s="366">
        <v>171</v>
      </c>
      <c r="O184" s="364" t="s">
        <v>1010</v>
      </c>
      <c r="Q184" s="365">
        <v>1450</v>
      </c>
      <c r="R184" s="350">
        <f t="shared" si="16"/>
        <v>1494.9499999999998</v>
      </c>
      <c r="S184" s="4"/>
      <c r="U184" s="40"/>
      <c r="V184" s="40"/>
      <c r="W184" s="40"/>
    </row>
    <row r="185" spans="1:23" ht="18" customHeight="1" thickBot="1">
      <c r="A185" s="40">
        <f t="shared" si="18"/>
        <v>42</v>
      </c>
      <c r="B185" s="247" t="s">
        <v>113</v>
      </c>
      <c r="C185" s="40"/>
      <c r="D185" s="40"/>
      <c r="E185" s="40"/>
      <c r="F185" s="40"/>
      <c r="G185" s="251">
        <v>375</v>
      </c>
      <c r="H185" s="350">
        <f t="shared" si="20"/>
        <v>386.62499999999994</v>
      </c>
      <c r="I185" s="40">
        <f t="shared" si="17"/>
        <v>106</v>
      </c>
      <c r="J185" s="40" t="s">
        <v>158</v>
      </c>
      <c r="K185" s="241">
        <v>1700</v>
      </c>
      <c r="L185" s="350">
        <f t="shared" si="15"/>
        <v>1752.6999999999998</v>
      </c>
      <c r="M185" s="40"/>
      <c r="N185" s="366">
        <v>172</v>
      </c>
      <c r="O185" s="364" t="s">
        <v>1011</v>
      </c>
      <c r="Q185" s="365">
        <v>2335</v>
      </c>
      <c r="R185" s="350">
        <f t="shared" si="16"/>
        <v>2407.3849999999998</v>
      </c>
      <c r="S185" s="4"/>
      <c r="U185" s="40"/>
      <c r="V185" s="40"/>
      <c r="W185" s="40"/>
    </row>
    <row r="186" spans="1:23" ht="18" customHeight="1" thickBot="1">
      <c r="A186" s="40">
        <f t="shared" si="18"/>
        <v>43</v>
      </c>
      <c r="B186" s="247" t="s">
        <v>115</v>
      </c>
      <c r="C186" s="40"/>
      <c r="D186" s="40"/>
      <c r="E186" s="40"/>
      <c r="F186" s="40"/>
      <c r="G186" s="242">
        <v>0</v>
      </c>
      <c r="H186" s="350">
        <f t="shared" si="20"/>
        <v>0</v>
      </c>
      <c r="I186" s="40">
        <f t="shared" si="17"/>
        <v>107</v>
      </c>
      <c r="J186" s="40" t="s">
        <v>160</v>
      </c>
      <c r="K186" s="241">
        <v>1800</v>
      </c>
      <c r="L186" s="350">
        <f t="shared" si="15"/>
        <v>1855.8</v>
      </c>
      <c r="M186" s="40"/>
      <c r="N186" s="366">
        <v>173</v>
      </c>
      <c r="O186" s="364" t="s">
        <v>1012</v>
      </c>
      <c r="Q186" s="365">
        <v>1000</v>
      </c>
      <c r="R186" s="350">
        <f t="shared" si="16"/>
        <v>1031</v>
      </c>
      <c r="S186" s="4"/>
      <c r="U186" s="40"/>
      <c r="V186" s="40"/>
      <c r="W186" s="40"/>
    </row>
    <row r="187" spans="1:23" ht="18" customHeight="1" thickBot="1">
      <c r="A187" s="40">
        <f t="shared" si="18"/>
        <v>44</v>
      </c>
      <c r="B187" s="247" t="s">
        <v>220</v>
      </c>
      <c r="C187" s="40"/>
      <c r="D187" s="40"/>
      <c r="E187" s="40"/>
      <c r="F187" s="40"/>
      <c r="G187" s="241">
        <v>0</v>
      </c>
      <c r="H187" s="350">
        <f t="shared" si="20"/>
        <v>0</v>
      </c>
      <c r="I187" s="40">
        <f t="shared" si="17"/>
        <v>108</v>
      </c>
      <c r="J187" s="40" t="s">
        <v>161</v>
      </c>
      <c r="K187" s="241">
        <v>1995</v>
      </c>
      <c r="L187" s="350">
        <f t="shared" si="15"/>
        <v>2056.8449999999998</v>
      </c>
      <c r="M187" s="40"/>
      <c r="N187" s="366">
        <v>174</v>
      </c>
      <c r="O187" s="364" t="s">
        <v>1013</v>
      </c>
      <c r="Q187" s="365">
        <v>1850</v>
      </c>
      <c r="R187" s="350">
        <f t="shared" si="16"/>
        <v>1907.35</v>
      </c>
      <c r="S187" s="4"/>
      <c r="U187" s="40"/>
      <c r="V187" s="40"/>
      <c r="W187" s="40"/>
    </row>
    <row r="188" spans="1:23" ht="18" customHeight="1" thickBot="1">
      <c r="A188" s="40">
        <f t="shared" si="18"/>
        <v>45</v>
      </c>
      <c r="B188" s="248" t="s">
        <v>119</v>
      </c>
      <c r="C188" s="40"/>
      <c r="D188" s="40"/>
      <c r="E188" s="40"/>
      <c r="F188" s="40"/>
      <c r="G188" s="241">
        <v>400</v>
      </c>
      <c r="H188" s="350">
        <f t="shared" si="20"/>
        <v>412.4</v>
      </c>
      <c r="I188" s="252">
        <f t="shared" si="17"/>
        <v>109</v>
      </c>
      <c r="J188" s="252" t="s">
        <v>162</v>
      </c>
      <c r="K188" s="241">
        <v>2000</v>
      </c>
      <c r="L188" s="350">
        <f t="shared" si="15"/>
        <v>2062</v>
      </c>
      <c r="M188" s="40"/>
      <c r="N188" s="366">
        <v>175</v>
      </c>
      <c r="O188" s="364" t="s">
        <v>1014</v>
      </c>
      <c r="Q188" s="365">
        <v>2050</v>
      </c>
      <c r="R188" s="350">
        <f t="shared" si="16"/>
        <v>2113.5499999999997</v>
      </c>
      <c r="S188" s="4"/>
      <c r="U188" s="40"/>
      <c r="V188" s="40"/>
      <c r="W188" s="40"/>
    </row>
    <row r="189" spans="1:23" ht="18" customHeight="1" thickBot="1">
      <c r="A189" s="40">
        <f t="shared" si="18"/>
        <v>46</v>
      </c>
      <c r="B189" s="248" t="s">
        <v>121</v>
      </c>
      <c r="C189" s="40"/>
      <c r="D189" s="40"/>
      <c r="E189" s="40"/>
      <c r="F189" s="40"/>
      <c r="G189" s="241">
        <v>45</v>
      </c>
      <c r="H189" s="350">
        <f t="shared" si="20"/>
        <v>46.394999999999996</v>
      </c>
      <c r="I189" s="249">
        <v>127</v>
      </c>
      <c r="J189" s="229" t="s">
        <v>164</v>
      </c>
      <c r="K189" s="253" t="s">
        <v>32</v>
      </c>
      <c r="L189" s="350"/>
      <c r="M189" s="40"/>
      <c r="N189" s="366">
        <v>176</v>
      </c>
      <c r="O189" s="364" t="s">
        <v>1015</v>
      </c>
      <c r="Q189" s="365">
        <v>2150</v>
      </c>
      <c r="R189" s="350">
        <f t="shared" si="16"/>
        <v>2216.6499999999996</v>
      </c>
      <c r="S189" s="4"/>
      <c r="U189" s="40"/>
      <c r="V189" s="40"/>
      <c r="W189" s="40"/>
    </row>
    <row r="190" spans="1:23" ht="18" customHeight="1" thickBot="1">
      <c r="A190" s="40">
        <f t="shared" si="18"/>
        <v>47</v>
      </c>
      <c r="B190" s="248" t="s">
        <v>123</v>
      </c>
      <c r="C190" s="40"/>
      <c r="D190" s="40"/>
      <c r="E190" s="40"/>
      <c r="F190" s="40"/>
      <c r="G190" s="241">
        <v>250</v>
      </c>
      <c r="H190" s="350">
        <f t="shared" si="20"/>
        <v>257.75</v>
      </c>
      <c r="I190" s="249">
        <v>128</v>
      </c>
      <c r="J190" s="229" t="s">
        <v>222</v>
      </c>
      <c r="K190" s="241">
        <v>135</v>
      </c>
      <c r="L190" s="350">
        <f t="shared" si="15"/>
        <v>139.185</v>
      </c>
      <c r="M190" s="40"/>
      <c r="N190" s="366">
        <v>177</v>
      </c>
      <c r="O190" s="364" t="s">
        <v>1016</v>
      </c>
      <c r="Q190" s="365">
        <v>2050</v>
      </c>
      <c r="R190" s="350">
        <f t="shared" si="16"/>
        <v>2113.5499999999997</v>
      </c>
      <c r="S190" s="4"/>
      <c r="U190" s="40"/>
      <c r="V190" s="40"/>
      <c r="W190" s="40"/>
    </row>
    <row r="191" spans="1:23" ht="18" customHeight="1" thickBot="1">
      <c r="A191" s="40">
        <f t="shared" si="18"/>
        <v>48</v>
      </c>
      <c r="B191" s="248" t="s">
        <v>125</v>
      </c>
      <c r="C191" s="40"/>
      <c r="D191" s="40"/>
      <c r="E191" s="40"/>
      <c r="F191" s="40"/>
      <c r="G191" s="241">
        <v>430</v>
      </c>
      <c r="H191" s="350">
        <f t="shared" si="20"/>
        <v>443.33</v>
      </c>
      <c r="I191" s="249">
        <v>129</v>
      </c>
      <c r="J191" s="229" t="s">
        <v>166</v>
      </c>
      <c r="K191" s="241">
        <v>400</v>
      </c>
      <c r="L191" s="350">
        <f t="shared" si="15"/>
        <v>412.4</v>
      </c>
      <c r="M191" s="40"/>
      <c r="N191" s="366">
        <v>178</v>
      </c>
      <c r="O191" s="364" t="s">
        <v>1017</v>
      </c>
      <c r="Q191" s="365">
        <v>575</v>
      </c>
      <c r="R191" s="350">
        <f t="shared" si="16"/>
        <v>592.82499999999993</v>
      </c>
      <c r="S191" s="4"/>
      <c r="U191" s="40"/>
      <c r="V191" s="40"/>
      <c r="W191" s="40"/>
    </row>
    <row r="192" spans="1:23" ht="18" customHeight="1" thickBot="1">
      <c r="A192" s="40">
        <f t="shared" si="18"/>
        <v>49</v>
      </c>
      <c r="B192" s="254" t="s">
        <v>127</v>
      </c>
      <c r="C192" s="255"/>
      <c r="D192" s="256"/>
      <c r="E192" s="256"/>
      <c r="F192" s="257"/>
      <c r="G192" s="241">
        <v>200</v>
      </c>
      <c r="H192" s="350">
        <f t="shared" si="20"/>
        <v>206.2</v>
      </c>
      <c r="I192" s="249">
        <v>130</v>
      </c>
      <c r="J192" s="229" t="s">
        <v>797</v>
      </c>
      <c r="K192" s="241">
        <v>3960</v>
      </c>
      <c r="L192" s="350">
        <f t="shared" si="15"/>
        <v>4082.7599999999998</v>
      </c>
      <c r="M192" s="40"/>
      <c r="S192" s="4"/>
      <c r="U192" s="40"/>
      <c r="V192" s="40"/>
      <c r="W192" s="40"/>
    </row>
    <row r="193" spans="1:23" ht="18" customHeight="1" thickBot="1">
      <c r="A193" s="40">
        <v>52</v>
      </c>
      <c r="B193" s="254" t="s">
        <v>790</v>
      </c>
      <c r="C193" s="258"/>
      <c r="D193" s="256"/>
      <c r="E193" s="256"/>
      <c r="F193" s="259"/>
      <c r="G193" s="242" t="s">
        <v>790</v>
      </c>
      <c r="H193" s="350"/>
      <c r="I193" s="260">
        <v>131</v>
      </c>
      <c r="J193" s="229" t="s">
        <v>168</v>
      </c>
      <c r="K193" s="241">
        <v>75</v>
      </c>
      <c r="L193" s="350">
        <f t="shared" si="15"/>
        <v>77.324999999999989</v>
      </c>
      <c r="M193" s="40"/>
      <c r="S193" s="4"/>
      <c r="U193" s="40"/>
      <c r="V193" s="40"/>
      <c r="W193" s="40"/>
    </row>
    <row r="194" spans="1:23" ht="18" customHeight="1" thickBot="1">
      <c r="A194" s="40">
        <f t="shared" ref="A194" si="21">A193+1</f>
        <v>53</v>
      </c>
      <c r="B194" s="254" t="s">
        <v>106</v>
      </c>
      <c r="C194" s="255"/>
      <c r="D194" s="256"/>
      <c r="E194" s="256"/>
      <c r="F194" s="261"/>
      <c r="G194" s="241">
        <v>6840</v>
      </c>
      <c r="H194" s="350">
        <f>G194*1.031</f>
        <v>7052.0399999999991</v>
      </c>
      <c r="I194" s="40"/>
      <c r="J194" s="260"/>
      <c r="K194" s="40"/>
      <c r="L194" s="40"/>
      <c r="M194" s="40"/>
      <c r="U194" s="40"/>
      <c r="V194" s="40"/>
      <c r="W194" s="40"/>
    </row>
    <row r="195" spans="1:23" ht="18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U195" s="40"/>
      <c r="V195" s="40"/>
      <c r="W195" s="40"/>
    </row>
    <row r="196" spans="1:23" ht="18" customHeight="1">
      <c r="A196" s="40"/>
      <c r="B196" s="220" t="s">
        <v>808</v>
      </c>
      <c r="C196" s="40"/>
      <c r="D196" s="231"/>
      <c r="E196" s="40"/>
      <c r="F196" s="40"/>
      <c r="G196" s="262"/>
      <c r="H196" s="231"/>
      <c r="I196" s="40"/>
      <c r="J196" s="220" t="s">
        <v>800</v>
      </c>
      <c r="K196" s="220" t="s">
        <v>1027</v>
      </c>
      <c r="L196" s="40"/>
      <c r="M196" s="40"/>
      <c r="U196" s="40"/>
      <c r="V196" s="40"/>
      <c r="W196" s="40"/>
    </row>
    <row r="197" spans="1:23" ht="18" customHeight="1">
      <c r="A197" s="40"/>
      <c r="B197" s="220" t="s">
        <v>758</v>
      </c>
      <c r="C197" s="40"/>
      <c r="D197" s="231"/>
      <c r="E197" s="40"/>
      <c r="F197" s="40"/>
      <c r="G197" s="262"/>
      <c r="H197" s="231"/>
      <c r="I197" s="40"/>
      <c r="J197" s="220" t="s">
        <v>801</v>
      </c>
      <c r="K197" s="220" t="s">
        <v>794</v>
      </c>
      <c r="L197" s="40"/>
      <c r="M197" s="40"/>
      <c r="U197" s="40"/>
      <c r="V197" s="40"/>
      <c r="W197" s="40"/>
    </row>
    <row r="198" spans="1:23" ht="18" customHeight="1">
      <c r="A198" s="40"/>
      <c r="B198" s="220" t="s">
        <v>0</v>
      </c>
      <c r="C198" s="40"/>
      <c r="D198" s="231"/>
      <c r="E198" s="40"/>
      <c r="F198" s="40"/>
      <c r="G198" s="263"/>
      <c r="H198" s="231"/>
      <c r="I198" s="40"/>
      <c r="J198" s="40"/>
      <c r="K198" s="220" t="s">
        <v>1026</v>
      </c>
      <c r="L198" s="40"/>
      <c r="M198" s="40"/>
      <c r="U198" s="40"/>
      <c r="V198" s="40"/>
      <c r="W198" s="40"/>
    </row>
    <row r="199" spans="1:23" ht="18" customHeight="1">
      <c r="A199" s="40"/>
      <c r="B199" s="220"/>
      <c r="C199" s="40"/>
      <c r="D199" s="231"/>
      <c r="E199" s="40"/>
      <c r="F199" s="40"/>
      <c r="G199" s="262" t="s">
        <v>761</v>
      </c>
      <c r="H199" s="231"/>
      <c r="I199" s="40"/>
      <c r="J199" s="40"/>
      <c r="K199" s="220"/>
      <c r="L199" s="40"/>
      <c r="M199" s="40"/>
      <c r="U199" s="40"/>
      <c r="V199" s="40"/>
      <c r="W199" s="40"/>
    </row>
    <row r="200" spans="1:23" ht="18" customHeight="1" thickBot="1">
      <c r="A200" s="40"/>
      <c r="B200" s="220" t="s">
        <v>759</v>
      </c>
      <c r="C200" s="220" t="s">
        <v>760</v>
      </c>
      <c r="D200" s="264">
        <v>263244</v>
      </c>
      <c r="E200" s="223"/>
      <c r="F200" s="350">
        <f>D200*1.038</f>
        <v>273247.272</v>
      </c>
      <c r="G200" s="263" t="s">
        <v>802</v>
      </c>
      <c r="H200" s="236" t="s">
        <v>204</v>
      </c>
      <c r="I200" s="223"/>
      <c r="J200" s="40"/>
      <c r="K200" s="262"/>
      <c r="L200" s="40"/>
      <c r="M200" s="40"/>
      <c r="U200" s="40"/>
      <c r="V200" s="40"/>
      <c r="W200" s="40"/>
    </row>
    <row r="201" spans="1:23" ht="18" customHeight="1">
      <c r="A201" s="40"/>
      <c r="B201" s="220"/>
      <c r="C201" s="220"/>
      <c r="D201" s="231"/>
      <c r="E201" s="40"/>
      <c r="F201" s="40"/>
      <c r="G201" s="263"/>
      <c r="H201" s="231"/>
      <c r="I201" s="40"/>
      <c r="J201" s="40"/>
      <c r="K201" s="262"/>
      <c r="L201" s="40"/>
      <c r="M201" s="40"/>
      <c r="U201" s="40"/>
      <c r="V201" s="40"/>
      <c r="W201" s="40"/>
    </row>
    <row r="202" spans="1:23" ht="18" customHeight="1" thickBot="1">
      <c r="A202" s="40"/>
      <c r="B202" s="220" t="s">
        <v>759</v>
      </c>
      <c r="C202" s="220" t="s">
        <v>763</v>
      </c>
      <c r="D202" s="236" t="s">
        <v>204</v>
      </c>
      <c r="E202" s="223"/>
      <c r="F202" s="40"/>
      <c r="G202" s="263" t="s">
        <v>803</v>
      </c>
      <c r="H202" s="236" t="s">
        <v>204</v>
      </c>
      <c r="I202" s="223"/>
      <c r="J202" s="40"/>
      <c r="K202" s="262"/>
      <c r="L202" s="40"/>
      <c r="M202" s="40"/>
      <c r="U202" s="40"/>
      <c r="V202" s="40"/>
      <c r="W202" s="40"/>
    </row>
    <row r="203" spans="1:23" ht="18" customHeight="1">
      <c r="A203" s="40"/>
      <c r="B203" s="40"/>
      <c r="C203" s="40"/>
      <c r="D203" s="231"/>
      <c r="E203" s="40"/>
      <c r="F203" s="40"/>
      <c r="G203" s="262"/>
      <c r="H203" s="231"/>
      <c r="I203" s="40"/>
      <c r="J203" s="40"/>
      <c r="K203" s="262"/>
      <c r="L203" s="40"/>
      <c r="M203" s="40"/>
      <c r="U203" s="40"/>
      <c r="V203" s="40"/>
      <c r="W203" s="40"/>
    </row>
    <row r="204" spans="1:23" ht="18" customHeight="1">
      <c r="A204" s="40"/>
      <c r="B204" s="40"/>
      <c r="C204" s="40"/>
      <c r="D204" s="231"/>
      <c r="E204" s="40"/>
      <c r="F204" s="40"/>
      <c r="G204" s="262"/>
      <c r="H204" s="231"/>
      <c r="I204" s="40"/>
      <c r="J204" s="40"/>
      <c r="K204" s="262"/>
      <c r="L204" s="40"/>
      <c r="M204" s="40"/>
      <c r="U204" s="40"/>
      <c r="V204" s="40"/>
      <c r="W204" s="40"/>
    </row>
    <row r="205" spans="1:23" ht="18" customHeight="1">
      <c r="A205" s="40"/>
      <c r="B205" s="224" t="s">
        <v>22</v>
      </c>
      <c r="C205" s="40"/>
      <c r="D205" s="231"/>
      <c r="E205" s="40"/>
      <c r="F205" s="40"/>
      <c r="G205" s="262"/>
      <c r="H205" s="231"/>
      <c r="I205" s="40"/>
      <c r="J205" s="40"/>
      <c r="K205" s="262"/>
      <c r="L205" s="40"/>
      <c r="M205" s="40"/>
      <c r="U205" s="40"/>
      <c r="V205" s="40"/>
      <c r="W205" s="40"/>
    </row>
    <row r="206" spans="1:23" ht="18" customHeight="1" thickBot="1">
      <c r="A206" s="40">
        <v>1</v>
      </c>
      <c r="B206" s="225" t="s">
        <v>23</v>
      </c>
      <c r="C206" s="40"/>
      <c r="D206" s="231"/>
      <c r="E206" s="40"/>
      <c r="F206" s="40"/>
      <c r="G206" s="264">
        <v>1408</v>
      </c>
      <c r="H206" s="350">
        <f t="shared" ref="H206:H219" si="22">G206*1.038</f>
        <v>1461.5040000000001</v>
      </c>
      <c r="I206" s="40">
        <v>64</v>
      </c>
      <c r="J206" s="225" t="s">
        <v>809</v>
      </c>
      <c r="K206" s="264">
        <v>450</v>
      </c>
      <c r="L206" s="350">
        <f>K206*1.038</f>
        <v>467.1</v>
      </c>
      <c r="M206" s="40"/>
      <c r="U206" s="40"/>
      <c r="V206" s="40"/>
      <c r="W206" s="40"/>
    </row>
    <row r="207" spans="1:23" ht="18" customHeight="1" thickBot="1">
      <c r="A207" s="40">
        <f>(A206+1)</f>
        <v>2</v>
      </c>
      <c r="B207" s="225" t="s">
        <v>26</v>
      </c>
      <c r="C207" s="40"/>
      <c r="D207" s="231"/>
      <c r="E207" s="40"/>
      <c r="F207" s="40"/>
      <c r="G207" s="264">
        <v>1326</v>
      </c>
      <c r="H207" s="350">
        <f t="shared" si="22"/>
        <v>1376.3880000000001</v>
      </c>
      <c r="I207" s="40">
        <f t="shared" ref="I207:I250" si="23">(I206+1)</f>
        <v>65</v>
      </c>
      <c r="J207" s="225" t="s">
        <v>69</v>
      </c>
      <c r="K207" s="264">
        <v>-400</v>
      </c>
      <c r="L207" s="350">
        <f t="shared" ref="L207:L255" si="24">K207*1.038</f>
        <v>-415.2</v>
      </c>
      <c r="M207" s="40"/>
      <c r="U207" s="40"/>
      <c r="V207" s="40"/>
      <c r="W207" s="40"/>
    </row>
    <row r="208" spans="1:23" ht="18" customHeight="1" thickBot="1">
      <c r="A208" s="40">
        <f t="shared" ref="A208:A254" si="25">(A207+1)</f>
        <v>3</v>
      </c>
      <c r="B208" s="225" t="s">
        <v>29</v>
      </c>
      <c r="C208" s="40"/>
      <c r="D208" s="231"/>
      <c r="E208" s="40"/>
      <c r="F208" s="40"/>
      <c r="G208" s="264">
        <v>881</v>
      </c>
      <c r="H208" s="350">
        <f t="shared" si="22"/>
        <v>914.47800000000007</v>
      </c>
      <c r="I208" s="40">
        <f t="shared" si="23"/>
        <v>66</v>
      </c>
      <c r="J208" s="225" t="s">
        <v>71</v>
      </c>
      <c r="K208" s="264">
        <v>433</v>
      </c>
      <c r="L208" s="350">
        <f t="shared" si="24"/>
        <v>449.45400000000001</v>
      </c>
      <c r="M208" s="40"/>
      <c r="N208" s="40">
        <v>134</v>
      </c>
      <c r="O208" s="225" t="s">
        <v>31</v>
      </c>
      <c r="P208" s="225"/>
      <c r="Q208" s="264">
        <v>1077</v>
      </c>
      <c r="R208" s="350">
        <f t="shared" ref="R208:R226" si="26">Q208*1.031</f>
        <v>1110.3869999999999</v>
      </c>
      <c r="S208" s="40" t="s">
        <v>33</v>
      </c>
      <c r="T208" s="40"/>
      <c r="U208" s="40"/>
      <c r="V208" s="40"/>
      <c r="W208" s="40"/>
    </row>
    <row r="209" spans="1:23" ht="18" customHeight="1" thickBot="1">
      <c r="A209" s="40">
        <f t="shared" si="25"/>
        <v>4</v>
      </c>
      <c r="B209" s="225" t="s">
        <v>34</v>
      </c>
      <c r="C209" s="40"/>
      <c r="D209" s="231"/>
      <c r="E209" s="40"/>
      <c r="F209" s="40"/>
      <c r="G209" s="264">
        <v>900</v>
      </c>
      <c r="H209" s="350">
        <f t="shared" si="22"/>
        <v>934.2</v>
      </c>
      <c r="I209" s="40">
        <f t="shared" si="23"/>
        <v>67</v>
      </c>
      <c r="J209" s="225" t="s">
        <v>73</v>
      </c>
      <c r="K209" s="264">
        <v>1421</v>
      </c>
      <c r="L209" s="350">
        <f t="shared" si="24"/>
        <v>1474.998</v>
      </c>
      <c r="M209" s="40"/>
      <c r="N209" s="40">
        <v>135</v>
      </c>
      <c r="O209" s="226" t="s">
        <v>36</v>
      </c>
      <c r="P209" s="226"/>
      <c r="Q209" s="264">
        <v>333</v>
      </c>
      <c r="R209" s="350">
        <f t="shared" si="26"/>
        <v>343.32299999999998</v>
      </c>
      <c r="S209" s="40" t="s">
        <v>33</v>
      </c>
      <c r="T209" s="40"/>
      <c r="U209" s="40"/>
      <c r="V209" s="40"/>
      <c r="W209" s="40"/>
    </row>
    <row r="210" spans="1:23" ht="18" customHeight="1" thickBot="1">
      <c r="A210" s="40">
        <f t="shared" si="25"/>
        <v>5</v>
      </c>
      <c r="B210" s="225" t="s">
        <v>37</v>
      </c>
      <c r="C210" s="40"/>
      <c r="D210" s="231"/>
      <c r="E210" s="40"/>
      <c r="F210" s="40"/>
      <c r="G210" s="264">
        <v>1254</v>
      </c>
      <c r="H210" s="350">
        <f t="shared" si="22"/>
        <v>1301.652</v>
      </c>
      <c r="I210" s="40">
        <f t="shared" si="23"/>
        <v>68</v>
      </c>
      <c r="J210" s="225" t="s">
        <v>75</v>
      </c>
      <c r="K210" s="264">
        <v>135</v>
      </c>
      <c r="L210" s="350">
        <f t="shared" si="24"/>
        <v>140.13</v>
      </c>
      <c r="M210" s="40"/>
      <c r="N210" s="40">
        <v>136</v>
      </c>
      <c r="O210" s="225" t="s">
        <v>765</v>
      </c>
      <c r="P210" s="225"/>
      <c r="Q210" s="265">
        <v>876</v>
      </c>
      <c r="R210" s="350">
        <f t="shared" si="26"/>
        <v>903.15599999999995</v>
      </c>
      <c r="S210" s="40" t="s">
        <v>210</v>
      </c>
      <c r="T210" s="40"/>
      <c r="U210" s="40"/>
      <c r="V210" s="40"/>
      <c r="W210" s="40"/>
    </row>
    <row r="211" spans="1:23" ht="18" customHeight="1" thickBot="1">
      <c r="A211" s="40">
        <v>6</v>
      </c>
      <c r="B211" s="225" t="s">
        <v>766</v>
      </c>
      <c r="C211" s="40"/>
      <c r="D211" s="231"/>
      <c r="E211" s="40"/>
      <c r="F211" s="40"/>
      <c r="G211" s="264">
        <v>1351</v>
      </c>
      <c r="H211" s="350">
        <f t="shared" si="22"/>
        <v>1402.338</v>
      </c>
      <c r="I211" s="40">
        <f t="shared" si="23"/>
        <v>69</v>
      </c>
      <c r="J211" s="225" t="s">
        <v>78</v>
      </c>
      <c r="K211" s="264">
        <v>1077</v>
      </c>
      <c r="L211" s="350">
        <f t="shared" si="24"/>
        <v>1117.9259999999999</v>
      </c>
      <c r="M211" s="40"/>
      <c r="N211" s="40">
        <f>N210+1</f>
        <v>137</v>
      </c>
      <c r="O211" s="40" t="s">
        <v>767</v>
      </c>
      <c r="P211" s="40"/>
      <c r="Q211" s="265">
        <v>200</v>
      </c>
      <c r="R211" s="350">
        <f t="shared" si="26"/>
        <v>206.2</v>
      </c>
      <c r="S211" s="40"/>
      <c r="T211" s="40"/>
      <c r="U211" s="40"/>
      <c r="V211" s="40"/>
      <c r="W211" s="40"/>
    </row>
    <row r="212" spans="1:23" ht="18" customHeight="1" thickBot="1">
      <c r="A212" s="40">
        <v>7</v>
      </c>
      <c r="B212" s="225" t="s">
        <v>768</v>
      </c>
      <c r="C212" s="40"/>
      <c r="D212" s="231"/>
      <c r="E212" s="40"/>
      <c r="F212" s="40"/>
      <c r="G212" s="264">
        <v>1202</v>
      </c>
      <c r="H212" s="350">
        <f t="shared" si="22"/>
        <v>1247.6759999999999</v>
      </c>
      <c r="I212" s="40">
        <v>70</v>
      </c>
      <c r="J212" s="225" t="s">
        <v>82</v>
      </c>
      <c r="K212" s="264">
        <v>261</v>
      </c>
      <c r="L212" s="350">
        <f t="shared" si="24"/>
        <v>270.91800000000001</v>
      </c>
      <c r="M212" s="40"/>
      <c r="N212" s="40">
        <f t="shared" ref="N212:N218" si="27">N211+1</f>
        <v>138</v>
      </c>
      <c r="O212" s="40" t="s">
        <v>769</v>
      </c>
      <c r="P212" s="40"/>
      <c r="Q212" s="265">
        <v>3500</v>
      </c>
      <c r="R212" s="350">
        <f t="shared" si="26"/>
        <v>3608.4999999999995</v>
      </c>
      <c r="S212" s="40"/>
      <c r="T212" s="40"/>
      <c r="U212" s="40"/>
      <c r="V212" s="40"/>
      <c r="W212" s="40"/>
    </row>
    <row r="213" spans="1:23" ht="18" customHeight="1" thickBot="1">
      <c r="A213" s="40">
        <v>8</v>
      </c>
      <c r="B213" s="225" t="s">
        <v>39</v>
      </c>
      <c r="C213" s="40"/>
      <c r="D213" s="231"/>
      <c r="E213" s="40"/>
      <c r="F213" s="40"/>
      <c r="G213" s="264">
        <v>1599</v>
      </c>
      <c r="H213" s="350">
        <f t="shared" si="22"/>
        <v>1659.7619999999999</v>
      </c>
      <c r="I213" s="40">
        <f t="shared" si="23"/>
        <v>71</v>
      </c>
      <c r="J213" s="225" t="s">
        <v>84</v>
      </c>
      <c r="K213" s="264">
        <v>333</v>
      </c>
      <c r="L213" s="350">
        <f t="shared" si="24"/>
        <v>345.654</v>
      </c>
      <c r="M213" s="40"/>
      <c r="N213" s="40">
        <f t="shared" si="27"/>
        <v>139</v>
      </c>
      <c r="O213" s="40" t="s">
        <v>771</v>
      </c>
      <c r="P213" s="40"/>
      <c r="Q213" s="265">
        <v>5500</v>
      </c>
      <c r="R213" s="350">
        <f t="shared" si="26"/>
        <v>5670.4999999999991</v>
      </c>
      <c r="S213" s="40"/>
      <c r="T213" s="40"/>
      <c r="U213" s="40"/>
      <c r="V213" s="40"/>
      <c r="W213" s="40"/>
    </row>
    <row r="214" spans="1:23" ht="18" customHeight="1" thickBot="1">
      <c r="A214" s="40">
        <f t="shared" si="25"/>
        <v>9</v>
      </c>
      <c r="B214" s="225" t="s">
        <v>41</v>
      </c>
      <c r="C214" s="40"/>
      <c r="D214" s="231"/>
      <c r="E214" s="40"/>
      <c r="F214" s="40"/>
      <c r="G214" s="264">
        <v>1791</v>
      </c>
      <c r="H214" s="350">
        <f t="shared" si="22"/>
        <v>1859.058</v>
      </c>
      <c r="I214" s="40">
        <f t="shared" si="23"/>
        <v>72</v>
      </c>
      <c r="J214" s="225" t="s">
        <v>86</v>
      </c>
      <c r="K214" s="264" t="s">
        <v>32</v>
      </c>
      <c r="L214" s="350"/>
      <c r="M214" s="40"/>
      <c r="N214" s="40">
        <f t="shared" si="27"/>
        <v>140</v>
      </c>
      <c r="O214" s="40" t="s">
        <v>772</v>
      </c>
      <c r="P214" s="40"/>
      <c r="Q214" s="265" t="s">
        <v>32</v>
      </c>
      <c r="R214" s="350"/>
      <c r="S214" s="40"/>
      <c r="T214" s="40"/>
      <c r="U214" s="40"/>
      <c r="V214" s="40"/>
      <c r="W214" s="40"/>
    </row>
    <row r="215" spans="1:23" ht="18" customHeight="1" thickBot="1">
      <c r="A215" s="40">
        <f>(A214+1)</f>
        <v>10</v>
      </c>
      <c r="B215" s="225" t="s">
        <v>43</v>
      </c>
      <c r="C215" s="40"/>
      <c r="D215" s="231"/>
      <c r="E215" s="40"/>
      <c r="F215" s="40"/>
      <c r="G215" s="264">
        <v>1404</v>
      </c>
      <c r="H215" s="350">
        <f t="shared" si="22"/>
        <v>1457.3520000000001</v>
      </c>
      <c r="I215" s="40">
        <f t="shared" si="23"/>
        <v>73</v>
      </c>
      <c r="J215" s="225" t="s">
        <v>88</v>
      </c>
      <c r="K215" s="264">
        <v>249</v>
      </c>
      <c r="L215" s="350">
        <f t="shared" si="24"/>
        <v>258.46199999999999</v>
      </c>
      <c r="M215" s="40"/>
      <c r="N215" s="40">
        <f t="shared" si="27"/>
        <v>141</v>
      </c>
      <c r="O215" s="40" t="s">
        <v>773</v>
      </c>
      <c r="P215" s="40"/>
      <c r="Q215" s="265" t="s">
        <v>804</v>
      </c>
      <c r="R215" s="350"/>
      <c r="S215" s="40" t="s">
        <v>774</v>
      </c>
      <c r="T215" s="40"/>
      <c r="U215" s="40"/>
      <c r="V215" s="40"/>
      <c r="W215" s="40"/>
    </row>
    <row r="216" spans="1:23" ht="18" customHeight="1" thickBot="1">
      <c r="A216" s="40">
        <f t="shared" si="25"/>
        <v>11</v>
      </c>
      <c r="B216" s="225" t="s">
        <v>45</v>
      </c>
      <c r="C216" s="40"/>
      <c r="D216" s="231"/>
      <c r="E216" s="40"/>
      <c r="F216" s="40"/>
      <c r="G216" s="264">
        <v>-334</v>
      </c>
      <c r="H216" s="350">
        <f t="shared" si="22"/>
        <v>-346.69200000000001</v>
      </c>
      <c r="I216" s="40">
        <f t="shared" si="23"/>
        <v>74</v>
      </c>
      <c r="J216" s="40" t="s">
        <v>90</v>
      </c>
      <c r="K216" s="264">
        <v>299</v>
      </c>
      <c r="L216" s="350">
        <f t="shared" si="24"/>
        <v>310.36200000000002</v>
      </c>
      <c r="M216" s="40"/>
      <c r="N216" s="40">
        <f t="shared" si="27"/>
        <v>142</v>
      </c>
      <c r="O216" s="40" t="s">
        <v>775</v>
      </c>
      <c r="P216" s="40"/>
      <c r="Q216" s="265" t="s">
        <v>32</v>
      </c>
      <c r="R216" s="350"/>
      <c r="S216" s="40" t="s">
        <v>776</v>
      </c>
      <c r="T216" s="40"/>
      <c r="U216" s="40"/>
      <c r="V216" s="40"/>
      <c r="W216" s="40"/>
    </row>
    <row r="217" spans="1:23" ht="18" customHeight="1" thickBot="1">
      <c r="A217" s="40">
        <f t="shared" si="25"/>
        <v>12</v>
      </c>
      <c r="B217" s="225" t="s">
        <v>47</v>
      </c>
      <c r="C217" s="40"/>
      <c r="D217" s="231"/>
      <c r="E217" s="40"/>
      <c r="F217" s="40"/>
      <c r="G217" s="264">
        <v>1407</v>
      </c>
      <c r="H217" s="350">
        <f t="shared" si="22"/>
        <v>1460.4660000000001</v>
      </c>
      <c r="I217" s="40">
        <f t="shared" si="23"/>
        <v>75</v>
      </c>
      <c r="J217" s="225" t="s">
        <v>92</v>
      </c>
      <c r="K217" s="264" t="s">
        <v>32</v>
      </c>
      <c r="L217" s="350"/>
      <c r="M217" s="40"/>
      <c r="N217" s="40">
        <f t="shared" si="27"/>
        <v>143</v>
      </c>
      <c r="O217" s="40" t="s">
        <v>777</v>
      </c>
      <c r="P217" s="40"/>
      <c r="Q217" s="265" t="s">
        <v>32</v>
      </c>
      <c r="R217" s="350"/>
      <c r="S217" s="40" t="s">
        <v>776</v>
      </c>
      <c r="T217" s="40"/>
      <c r="U217" s="40"/>
      <c r="V217" s="40"/>
      <c r="W217" s="40"/>
    </row>
    <row r="218" spans="1:23" ht="18" customHeight="1" thickBot="1">
      <c r="A218" s="40">
        <f t="shared" si="25"/>
        <v>13</v>
      </c>
      <c r="B218" s="40" t="s">
        <v>211</v>
      </c>
      <c r="C218" s="40"/>
      <c r="D218" s="231"/>
      <c r="E218" s="40"/>
      <c r="F218" s="40"/>
      <c r="G218" s="264">
        <v>1407</v>
      </c>
      <c r="H218" s="350">
        <f t="shared" si="22"/>
        <v>1460.4660000000001</v>
      </c>
      <c r="I218" s="40">
        <f t="shared" si="23"/>
        <v>76</v>
      </c>
      <c r="J218" s="40" t="s">
        <v>94</v>
      </c>
      <c r="K218" s="264">
        <v>277</v>
      </c>
      <c r="L218" s="350">
        <f t="shared" si="24"/>
        <v>287.52600000000001</v>
      </c>
      <c r="M218" s="40"/>
      <c r="N218" s="40">
        <f t="shared" si="27"/>
        <v>144</v>
      </c>
      <c r="O218" s="40" t="s">
        <v>778</v>
      </c>
      <c r="P218" s="40"/>
      <c r="Q218" s="265" t="s">
        <v>32</v>
      </c>
      <c r="R218" s="350"/>
      <c r="S218" s="40" t="s">
        <v>779</v>
      </c>
      <c r="T218" s="40"/>
      <c r="U218" s="40"/>
      <c r="V218" s="40"/>
      <c r="W218" s="40"/>
    </row>
    <row r="219" spans="1:23" ht="18" customHeight="1" thickBot="1">
      <c r="A219" s="40">
        <f t="shared" si="25"/>
        <v>14</v>
      </c>
      <c r="B219" s="225" t="s">
        <v>51</v>
      </c>
      <c r="C219" s="40"/>
      <c r="D219" s="231"/>
      <c r="E219" s="220"/>
      <c r="F219" s="40"/>
      <c r="G219" s="264">
        <v>1499</v>
      </c>
      <c r="H219" s="350">
        <f t="shared" si="22"/>
        <v>1555.962</v>
      </c>
      <c r="I219" s="40">
        <f t="shared" si="23"/>
        <v>77</v>
      </c>
      <c r="J219" s="40" t="s">
        <v>96</v>
      </c>
      <c r="K219" s="264">
        <v>8255</v>
      </c>
      <c r="L219" s="350">
        <f t="shared" si="24"/>
        <v>8568.69</v>
      </c>
      <c r="M219" s="40"/>
      <c r="N219" s="40">
        <v>145</v>
      </c>
      <c r="O219" s="40" t="s">
        <v>780</v>
      </c>
      <c r="P219" s="40"/>
      <c r="Q219" s="265" t="s">
        <v>32</v>
      </c>
      <c r="R219" s="350"/>
      <c r="S219" s="40"/>
      <c r="T219" s="40"/>
      <c r="U219" s="40"/>
      <c r="V219" s="40"/>
      <c r="W219" s="40"/>
    </row>
    <row r="220" spans="1:23" ht="18" customHeight="1" thickBot="1">
      <c r="A220" s="40">
        <f t="shared" si="25"/>
        <v>15</v>
      </c>
      <c r="B220" s="225" t="s">
        <v>53</v>
      </c>
      <c r="C220" s="40"/>
      <c r="D220" s="231"/>
      <c r="E220" s="220"/>
      <c r="F220" s="40"/>
      <c r="G220" s="264" t="s">
        <v>192</v>
      </c>
      <c r="H220" s="350"/>
      <c r="I220" s="40">
        <v>78</v>
      </c>
      <c r="J220" s="225" t="s">
        <v>781</v>
      </c>
      <c r="K220" s="264">
        <v>8999</v>
      </c>
      <c r="L220" s="350">
        <f t="shared" si="24"/>
        <v>9340.9619999999995</v>
      </c>
      <c r="M220" s="40"/>
      <c r="N220" s="40">
        <v>146</v>
      </c>
      <c r="O220" s="40" t="s">
        <v>787</v>
      </c>
      <c r="P220" s="40"/>
      <c r="Q220" s="265" t="s">
        <v>32</v>
      </c>
      <c r="R220" s="350"/>
      <c r="S220" s="40"/>
      <c r="T220" s="40"/>
      <c r="U220" s="40"/>
      <c r="V220" s="40"/>
      <c r="W220" s="40"/>
    </row>
    <row r="221" spans="1:23" ht="18" customHeight="1" thickBot="1">
      <c r="A221" s="40">
        <f t="shared" si="25"/>
        <v>16</v>
      </c>
      <c r="B221" s="225" t="s">
        <v>55</v>
      </c>
      <c r="C221" s="40"/>
      <c r="D221" s="231"/>
      <c r="E221" s="220"/>
      <c r="F221" s="40"/>
      <c r="G221" s="264">
        <v>550</v>
      </c>
      <c r="H221" s="350">
        <f t="shared" ref="H221:H232" si="28">G221*1.038</f>
        <v>570.9</v>
      </c>
      <c r="I221" s="40">
        <f t="shared" si="23"/>
        <v>79</v>
      </c>
      <c r="J221" s="225" t="s">
        <v>783</v>
      </c>
      <c r="K221" s="264" t="s">
        <v>32</v>
      </c>
      <c r="L221" s="350"/>
      <c r="M221" s="40"/>
      <c r="N221" s="40">
        <v>147</v>
      </c>
      <c r="O221" s="40" t="s">
        <v>782</v>
      </c>
      <c r="P221" s="40"/>
      <c r="Q221" s="265">
        <v>4666</v>
      </c>
      <c r="R221" s="350">
        <f t="shared" si="26"/>
        <v>4810.6459999999997</v>
      </c>
      <c r="S221" s="40"/>
      <c r="T221" s="40"/>
      <c r="U221" s="40"/>
      <c r="V221" s="40"/>
      <c r="W221" s="40"/>
    </row>
    <row r="222" spans="1:23" ht="18" customHeight="1" thickBot="1">
      <c r="A222" s="40">
        <f t="shared" si="25"/>
        <v>17</v>
      </c>
      <c r="B222" s="225" t="s">
        <v>58</v>
      </c>
      <c r="C222" s="40"/>
      <c r="D222" s="231"/>
      <c r="E222" s="40"/>
      <c r="F222" s="40"/>
      <c r="G222" s="264">
        <v>-503</v>
      </c>
      <c r="H222" s="350">
        <f t="shared" si="28"/>
        <v>-522.11400000000003</v>
      </c>
      <c r="I222" s="40">
        <v>80</v>
      </c>
      <c r="J222" s="225" t="s">
        <v>108</v>
      </c>
      <c r="K222" s="264">
        <v>675</v>
      </c>
      <c r="L222" s="350">
        <f t="shared" si="24"/>
        <v>700.65</v>
      </c>
      <c r="M222" s="40"/>
      <c r="N222" s="40">
        <v>148</v>
      </c>
      <c r="O222" s="40" t="s">
        <v>784</v>
      </c>
      <c r="P222" s="40"/>
      <c r="Q222" s="265">
        <v>2185</v>
      </c>
      <c r="R222" s="350">
        <f t="shared" si="26"/>
        <v>2252.7349999999997</v>
      </c>
      <c r="S222" s="40"/>
      <c r="T222" s="40"/>
      <c r="U222" s="40"/>
      <c r="V222" s="40"/>
      <c r="W222" s="40"/>
    </row>
    <row r="223" spans="1:23" ht="18" customHeight="1" thickBot="1">
      <c r="A223" s="40">
        <f t="shared" si="25"/>
        <v>18</v>
      </c>
      <c r="B223" s="225" t="s">
        <v>60</v>
      </c>
      <c r="C223" s="40"/>
      <c r="D223" s="231"/>
      <c r="E223" s="40"/>
      <c r="F223" s="40"/>
      <c r="G223" s="264">
        <v>63</v>
      </c>
      <c r="H223" s="350">
        <f t="shared" si="28"/>
        <v>65.394000000000005</v>
      </c>
      <c r="I223" s="40">
        <f t="shared" si="23"/>
        <v>81</v>
      </c>
      <c r="J223" s="225" t="s">
        <v>110</v>
      </c>
      <c r="K223" s="264">
        <v>888</v>
      </c>
      <c r="L223" s="350">
        <f t="shared" si="24"/>
        <v>921.74400000000003</v>
      </c>
      <c r="M223" s="40"/>
      <c r="N223" s="40">
        <v>149</v>
      </c>
      <c r="O223" s="40" t="s">
        <v>785</v>
      </c>
      <c r="P223" s="40"/>
      <c r="Q223" s="265">
        <v>458</v>
      </c>
      <c r="R223" s="350">
        <f t="shared" si="26"/>
        <v>472.19799999999998</v>
      </c>
      <c r="S223" s="40"/>
      <c r="T223" s="40"/>
      <c r="U223" s="40"/>
      <c r="V223" s="40"/>
      <c r="W223" s="40"/>
    </row>
    <row r="224" spans="1:23" ht="18" customHeight="1" thickBot="1">
      <c r="A224" s="40">
        <f t="shared" si="25"/>
        <v>19</v>
      </c>
      <c r="B224" s="40" t="s">
        <v>62</v>
      </c>
      <c r="C224" s="40"/>
      <c r="D224" s="231"/>
      <c r="E224" s="220"/>
      <c r="F224" s="40"/>
      <c r="G224" s="264">
        <v>82</v>
      </c>
      <c r="H224" s="350">
        <f t="shared" si="28"/>
        <v>85.116</v>
      </c>
      <c r="I224" s="40">
        <f t="shared" si="23"/>
        <v>82</v>
      </c>
      <c r="J224" s="225" t="s">
        <v>112</v>
      </c>
      <c r="K224" s="264">
        <v>1850</v>
      </c>
      <c r="L224" s="350">
        <f t="shared" si="24"/>
        <v>1920.3</v>
      </c>
      <c r="M224" s="40"/>
      <c r="N224" s="40">
        <v>150</v>
      </c>
      <c r="O224" s="40" t="s">
        <v>786</v>
      </c>
      <c r="P224" s="40"/>
      <c r="Q224" s="265" t="s">
        <v>32</v>
      </c>
      <c r="R224" s="350"/>
      <c r="S224" s="40"/>
      <c r="T224" s="40"/>
      <c r="U224" s="40"/>
      <c r="V224" s="40"/>
      <c r="W224" s="40"/>
    </row>
    <row r="225" spans="1:23" ht="18" customHeight="1" thickBot="1">
      <c r="A225" s="40">
        <f t="shared" si="25"/>
        <v>20</v>
      </c>
      <c r="B225" s="40" t="s">
        <v>64</v>
      </c>
      <c r="C225" s="40"/>
      <c r="D225" s="231"/>
      <c r="E225" s="220"/>
      <c r="F225" s="40"/>
      <c r="G225" s="264">
        <v>115</v>
      </c>
      <c r="H225" s="350">
        <f t="shared" si="28"/>
        <v>119.37</v>
      </c>
      <c r="I225" s="40">
        <f t="shared" si="23"/>
        <v>83</v>
      </c>
      <c r="J225" s="40" t="s">
        <v>114</v>
      </c>
      <c r="K225" s="264">
        <v>4388</v>
      </c>
      <c r="L225" s="350">
        <f t="shared" si="24"/>
        <v>4554.7440000000006</v>
      </c>
      <c r="M225" s="40"/>
      <c r="N225" s="40">
        <v>151</v>
      </c>
      <c r="O225" s="40" t="s">
        <v>787</v>
      </c>
      <c r="P225" s="40"/>
      <c r="Q225" s="265" t="s">
        <v>32</v>
      </c>
      <c r="R225" s="350"/>
      <c r="S225" s="40"/>
      <c r="T225" s="40"/>
      <c r="U225" s="40"/>
      <c r="V225" s="40"/>
      <c r="W225" s="40"/>
    </row>
    <row r="226" spans="1:23" ht="18" customHeight="1" thickBot="1">
      <c r="A226" s="40">
        <f t="shared" si="25"/>
        <v>21</v>
      </c>
      <c r="B226" s="40" t="s">
        <v>66</v>
      </c>
      <c r="C226" s="40"/>
      <c r="D226" s="231"/>
      <c r="E226" s="220"/>
      <c r="F226" s="40"/>
      <c r="G226" s="264">
        <v>80</v>
      </c>
      <c r="H226" s="350">
        <f t="shared" si="28"/>
        <v>83.04</v>
      </c>
      <c r="I226" s="40">
        <f t="shared" si="23"/>
        <v>84</v>
      </c>
      <c r="J226" s="40" t="s">
        <v>116</v>
      </c>
      <c r="K226" s="264">
        <v>6525</v>
      </c>
      <c r="L226" s="350">
        <f t="shared" si="24"/>
        <v>6772.95</v>
      </c>
      <c r="M226" s="40"/>
      <c r="N226" s="40">
        <v>152</v>
      </c>
      <c r="O226" s="40" t="s">
        <v>805</v>
      </c>
      <c r="P226" s="40"/>
      <c r="Q226" s="263">
        <v>972</v>
      </c>
      <c r="R226" s="350">
        <f t="shared" si="26"/>
        <v>1002.1319999999999</v>
      </c>
      <c r="S226" s="40"/>
      <c r="T226" s="40"/>
      <c r="U226" s="40"/>
      <c r="V226" s="40"/>
      <c r="W226" s="40"/>
    </row>
    <row r="227" spans="1:23" ht="18" customHeight="1" thickBot="1">
      <c r="A227" s="40">
        <f t="shared" si="25"/>
        <v>22</v>
      </c>
      <c r="B227" s="40" t="s">
        <v>68</v>
      </c>
      <c r="C227" s="40"/>
      <c r="D227" s="231"/>
      <c r="E227" s="220"/>
      <c r="F227" s="40"/>
      <c r="G227" s="264">
        <v>150</v>
      </c>
      <c r="H227" s="350">
        <f t="shared" si="28"/>
        <v>155.70000000000002</v>
      </c>
      <c r="I227" s="40">
        <f t="shared" si="23"/>
        <v>85</v>
      </c>
      <c r="J227" s="40" t="s">
        <v>118</v>
      </c>
      <c r="K227" s="264">
        <v>8921</v>
      </c>
      <c r="L227" s="350">
        <f t="shared" si="24"/>
        <v>9259.9979999999996</v>
      </c>
      <c r="M227" s="40"/>
      <c r="N227" s="40"/>
      <c r="O227" s="40"/>
      <c r="P227" s="40"/>
      <c r="Q227" s="263"/>
      <c r="R227" s="40"/>
      <c r="S227" s="40"/>
      <c r="T227" s="40"/>
      <c r="U227" s="40"/>
      <c r="V227" s="40"/>
      <c r="W227" s="40"/>
    </row>
    <row r="228" spans="1:23" ht="18" customHeight="1" thickBot="1">
      <c r="A228" s="40">
        <f t="shared" si="25"/>
        <v>23</v>
      </c>
      <c r="B228" s="40" t="s">
        <v>70</v>
      </c>
      <c r="C228" s="40"/>
      <c r="D228" s="231"/>
      <c r="E228" s="220"/>
      <c r="F228" s="40"/>
      <c r="G228" s="264">
        <v>48</v>
      </c>
      <c r="H228" s="350">
        <f t="shared" si="28"/>
        <v>49.823999999999998</v>
      </c>
      <c r="I228" s="40">
        <f t="shared" si="23"/>
        <v>86</v>
      </c>
      <c r="J228" s="40" t="s">
        <v>120</v>
      </c>
      <c r="K228" s="264">
        <v>3304</v>
      </c>
      <c r="L228" s="350">
        <f t="shared" si="24"/>
        <v>3429.5520000000001</v>
      </c>
      <c r="M228" s="40"/>
      <c r="N228" s="40"/>
      <c r="O228" s="40"/>
      <c r="P228" s="40"/>
      <c r="Q228" s="263"/>
      <c r="R228" s="40"/>
      <c r="S228" s="40"/>
      <c r="T228" s="40"/>
      <c r="U228" s="40"/>
      <c r="V228" s="40"/>
      <c r="W228" s="40"/>
    </row>
    <row r="229" spans="1:23" ht="18" customHeight="1" thickBot="1">
      <c r="A229" s="40">
        <f t="shared" si="25"/>
        <v>24</v>
      </c>
      <c r="B229" s="40" t="s">
        <v>72</v>
      </c>
      <c r="C229" s="40"/>
      <c r="D229" s="231"/>
      <c r="E229" s="220"/>
      <c r="F229" s="40"/>
      <c r="G229" s="264">
        <v>48</v>
      </c>
      <c r="H229" s="350">
        <f t="shared" si="28"/>
        <v>49.823999999999998</v>
      </c>
      <c r="I229" s="40">
        <f t="shared" si="23"/>
        <v>87</v>
      </c>
      <c r="J229" s="40" t="s">
        <v>122</v>
      </c>
      <c r="K229" s="264">
        <v>3781</v>
      </c>
      <c r="L229" s="350">
        <f t="shared" si="24"/>
        <v>3924.6780000000003</v>
      </c>
      <c r="M229" s="40"/>
      <c r="N229" s="40"/>
      <c r="O229" s="40"/>
      <c r="P229" s="40"/>
      <c r="Q229" s="263"/>
      <c r="R229" s="40"/>
      <c r="S229" s="40"/>
      <c r="T229" s="40"/>
      <c r="U229" s="40"/>
      <c r="V229" s="40"/>
      <c r="W229" s="40"/>
    </row>
    <row r="230" spans="1:23" ht="18" customHeight="1" thickBot="1">
      <c r="A230" s="40">
        <f t="shared" si="25"/>
        <v>25</v>
      </c>
      <c r="B230" s="40" t="s">
        <v>74</v>
      </c>
      <c r="C230" s="40"/>
      <c r="D230" s="231"/>
      <c r="E230" s="220"/>
      <c r="F230" s="40"/>
      <c r="G230" s="264">
        <v>80</v>
      </c>
      <c r="H230" s="350">
        <f t="shared" si="28"/>
        <v>83.04</v>
      </c>
      <c r="I230" s="40">
        <f t="shared" si="23"/>
        <v>88</v>
      </c>
      <c r="J230" s="40" t="s">
        <v>124</v>
      </c>
      <c r="K230" s="264">
        <v>4965</v>
      </c>
      <c r="L230" s="350">
        <f t="shared" si="24"/>
        <v>5153.67</v>
      </c>
      <c r="M230" s="40"/>
      <c r="N230" s="40"/>
      <c r="O230" s="40"/>
      <c r="P230" s="40"/>
      <c r="Q230" s="263"/>
      <c r="R230" s="40"/>
      <c r="S230" s="40"/>
      <c r="T230" s="40"/>
      <c r="U230" s="40"/>
      <c r="V230" s="40"/>
      <c r="W230" s="40"/>
    </row>
    <row r="231" spans="1:23" ht="18" customHeight="1" thickBot="1">
      <c r="A231" s="40">
        <f t="shared" si="25"/>
        <v>26</v>
      </c>
      <c r="B231" s="40" t="s">
        <v>76</v>
      </c>
      <c r="C231" s="40"/>
      <c r="D231" s="231"/>
      <c r="E231" s="220"/>
      <c r="F231" s="40"/>
      <c r="G231" s="264">
        <v>1450</v>
      </c>
      <c r="H231" s="350">
        <f t="shared" si="28"/>
        <v>1505.1000000000001</v>
      </c>
      <c r="I231" s="40">
        <f t="shared" si="23"/>
        <v>89</v>
      </c>
      <c r="J231" s="40" t="s">
        <v>126</v>
      </c>
      <c r="K231" s="264">
        <v>5880</v>
      </c>
      <c r="L231" s="350">
        <f t="shared" si="24"/>
        <v>6103.4400000000005</v>
      </c>
      <c r="M231" s="40"/>
      <c r="N231" s="40"/>
      <c r="O231" s="40"/>
      <c r="P231" s="40"/>
      <c r="Q231" s="263"/>
      <c r="R231" s="40"/>
      <c r="S231" s="40"/>
      <c r="T231" s="40"/>
      <c r="U231" s="40"/>
      <c r="V231" s="40"/>
      <c r="W231" s="40"/>
    </row>
    <row r="232" spans="1:23" ht="18" customHeight="1" thickBot="1">
      <c r="A232" s="40">
        <f t="shared" si="25"/>
        <v>27</v>
      </c>
      <c r="B232" s="225" t="s">
        <v>79</v>
      </c>
      <c r="C232" s="40"/>
      <c r="D232" s="231"/>
      <c r="E232" s="220"/>
      <c r="F232" s="40"/>
      <c r="G232" s="264">
        <v>500</v>
      </c>
      <c r="H232" s="350">
        <f t="shared" si="28"/>
        <v>519</v>
      </c>
      <c r="I232" s="40">
        <f t="shared" si="23"/>
        <v>90</v>
      </c>
      <c r="J232" s="40" t="s">
        <v>128</v>
      </c>
      <c r="K232" s="264">
        <v>6307</v>
      </c>
      <c r="L232" s="350">
        <f t="shared" si="24"/>
        <v>6546.6660000000002</v>
      </c>
      <c r="M232" s="40"/>
      <c r="N232" s="40"/>
      <c r="O232" s="40"/>
      <c r="P232" s="40"/>
      <c r="Q232" s="263"/>
      <c r="R232" s="40"/>
      <c r="S232" s="40"/>
      <c r="T232" s="40"/>
      <c r="U232" s="40"/>
      <c r="V232" s="40"/>
      <c r="W232" s="40"/>
    </row>
    <row r="233" spans="1:23" ht="18" customHeight="1" thickBot="1">
      <c r="A233" s="40">
        <f t="shared" si="25"/>
        <v>28</v>
      </c>
      <c r="B233" s="225" t="s">
        <v>789</v>
      </c>
      <c r="C233" s="40"/>
      <c r="D233" s="231"/>
      <c r="E233" s="40"/>
      <c r="F233" s="40"/>
      <c r="G233" s="264" t="s">
        <v>32</v>
      </c>
      <c r="H233" s="350"/>
      <c r="I233" s="40">
        <f t="shared" si="23"/>
        <v>91</v>
      </c>
      <c r="J233" s="225" t="s">
        <v>130</v>
      </c>
      <c r="K233" s="264">
        <v>5791</v>
      </c>
      <c r="L233" s="350">
        <f t="shared" si="24"/>
        <v>6011.058</v>
      </c>
      <c r="M233" s="40"/>
      <c r="N233" s="40"/>
      <c r="O233" s="40"/>
      <c r="P233" s="40"/>
      <c r="Q233" s="263"/>
      <c r="R233" s="40"/>
      <c r="S233" s="40"/>
      <c r="T233" s="40"/>
      <c r="U233" s="40"/>
      <c r="V233" s="40"/>
      <c r="W233" s="40"/>
    </row>
    <row r="234" spans="1:23" ht="18" customHeight="1" thickBot="1">
      <c r="A234" s="40">
        <f t="shared" si="25"/>
        <v>29</v>
      </c>
      <c r="B234" s="225" t="s">
        <v>705</v>
      </c>
      <c r="C234" s="40"/>
      <c r="D234" s="231"/>
      <c r="E234" s="40"/>
      <c r="F234" s="40"/>
      <c r="G234" s="264">
        <v>225</v>
      </c>
      <c r="H234" s="350">
        <f t="shared" ref="H234:H240" si="29">G234*1.038</f>
        <v>233.55</v>
      </c>
      <c r="I234" s="40">
        <f t="shared" si="23"/>
        <v>92</v>
      </c>
      <c r="J234" s="225" t="s">
        <v>132</v>
      </c>
      <c r="K234" s="264">
        <v>5399</v>
      </c>
      <c r="L234" s="350">
        <f t="shared" si="24"/>
        <v>5604.1620000000003</v>
      </c>
      <c r="M234" s="40"/>
      <c r="N234" s="40"/>
      <c r="O234" s="40"/>
      <c r="P234" s="40"/>
      <c r="Q234" s="263"/>
      <c r="R234" s="40"/>
      <c r="S234" s="40"/>
      <c r="T234" s="40"/>
      <c r="U234" s="40"/>
      <c r="V234" s="40"/>
      <c r="W234" s="40"/>
    </row>
    <row r="235" spans="1:23" ht="18" customHeight="1" thickBot="1">
      <c r="A235" s="40">
        <f t="shared" si="25"/>
        <v>30</v>
      </c>
      <c r="B235" s="225" t="s">
        <v>85</v>
      </c>
      <c r="C235" s="40"/>
      <c r="D235" s="231"/>
      <c r="E235" s="40"/>
      <c r="F235" s="40"/>
      <c r="G235" s="264">
        <v>790</v>
      </c>
      <c r="H235" s="350">
        <f t="shared" si="29"/>
        <v>820.02</v>
      </c>
      <c r="I235" s="40">
        <f t="shared" si="23"/>
        <v>93</v>
      </c>
      <c r="J235" s="225" t="s">
        <v>134</v>
      </c>
      <c r="K235" s="264">
        <v>2452</v>
      </c>
      <c r="L235" s="350">
        <f t="shared" si="24"/>
        <v>2545.1759999999999</v>
      </c>
      <c r="M235" s="40"/>
      <c r="N235" s="40"/>
      <c r="O235" s="40"/>
      <c r="P235" s="40"/>
      <c r="Q235" s="263"/>
      <c r="R235" s="40"/>
      <c r="S235" s="40"/>
      <c r="T235" s="40"/>
      <c r="U235" s="40"/>
      <c r="V235" s="40"/>
      <c r="W235" s="40"/>
    </row>
    <row r="236" spans="1:23" ht="18" customHeight="1" thickBot="1">
      <c r="A236" s="40">
        <f t="shared" si="25"/>
        <v>31</v>
      </c>
      <c r="B236" s="225" t="s">
        <v>87</v>
      </c>
      <c r="C236" s="40"/>
      <c r="D236" s="231"/>
      <c r="E236" s="40"/>
      <c r="F236" s="40"/>
      <c r="G236" s="264">
        <v>805</v>
      </c>
      <c r="H236" s="350">
        <f t="shared" si="29"/>
        <v>835.59</v>
      </c>
      <c r="I236" s="40">
        <v>95</v>
      </c>
      <c r="J236" s="40" t="s">
        <v>138</v>
      </c>
      <c r="K236" s="264">
        <v>5461</v>
      </c>
      <c r="L236" s="350">
        <f t="shared" si="24"/>
        <v>5668.518</v>
      </c>
      <c r="M236" s="40"/>
      <c r="N236" s="40"/>
      <c r="O236" s="40"/>
      <c r="P236" s="40"/>
      <c r="Q236" s="263"/>
      <c r="R236" s="40"/>
      <c r="S236" s="40"/>
      <c r="T236" s="40"/>
      <c r="U236" s="40"/>
      <c r="V236" s="40"/>
      <c r="W236" s="40"/>
    </row>
    <row r="237" spans="1:23" ht="18" customHeight="1" thickBot="1">
      <c r="A237" s="40">
        <f t="shared" si="25"/>
        <v>32</v>
      </c>
      <c r="B237" s="225" t="s">
        <v>89</v>
      </c>
      <c r="C237" s="40"/>
      <c r="D237" s="231"/>
      <c r="E237" s="40"/>
      <c r="F237" s="40"/>
      <c r="G237" s="264">
        <v>875</v>
      </c>
      <c r="H237" s="350">
        <f t="shared" si="29"/>
        <v>908.25</v>
      </c>
      <c r="I237" s="40">
        <f t="shared" si="23"/>
        <v>96</v>
      </c>
      <c r="J237" s="40" t="s">
        <v>140</v>
      </c>
      <c r="K237" s="264">
        <v>2256</v>
      </c>
      <c r="L237" s="350">
        <f t="shared" si="24"/>
        <v>2341.7280000000001</v>
      </c>
      <c r="M237" s="40"/>
      <c r="N237" s="40"/>
      <c r="O237" s="40"/>
      <c r="P237" s="40"/>
      <c r="Q237" s="263"/>
      <c r="R237" s="40"/>
      <c r="S237" s="40"/>
      <c r="T237" s="40"/>
      <c r="U237" s="40"/>
      <c r="V237" s="40"/>
      <c r="W237" s="40"/>
    </row>
    <row r="238" spans="1:23" ht="18" customHeight="1" thickBot="1">
      <c r="A238" s="40">
        <f t="shared" si="25"/>
        <v>33</v>
      </c>
      <c r="B238" s="40" t="s">
        <v>91</v>
      </c>
      <c r="C238" s="40"/>
      <c r="D238" s="231"/>
      <c r="E238" s="40"/>
      <c r="F238" s="40"/>
      <c r="G238" s="264">
        <v>-85</v>
      </c>
      <c r="H238" s="350">
        <f t="shared" si="29"/>
        <v>-88.23</v>
      </c>
      <c r="I238" s="40">
        <f t="shared" si="23"/>
        <v>97</v>
      </c>
      <c r="J238" s="40" t="s">
        <v>142</v>
      </c>
      <c r="K238" s="264">
        <v>8642</v>
      </c>
      <c r="L238" s="350">
        <f t="shared" si="24"/>
        <v>8970.3960000000006</v>
      </c>
      <c r="M238" s="40"/>
      <c r="N238" s="40"/>
      <c r="O238" s="40"/>
      <c r="P238" s="40"/>
      <c r="Q238" s="263"/>
      <c r="R238" s="40"/>
      <c r="S238" s="40"/>
      <c r="T238" s="40"/>
      <c r="U238" s="40"/>
      <c r="V238" s="40"/>
      <c r="W238" s="40"/>
    </row>
    <row r="239" spans="1:23" ht="18" customHeight="1" thickBot="1">
      <c r="A239" s="40">
        <f t="shared" si="25"/>
        <v>34</v>
      </c>
      <c r="B239" s="40" t="s">
        <v>93</v>
      </c>
      <c r="C239" s="40"/>
      <c r="D239" s="231"/>
      <c r="E239" s="40"/>
      <c r="F239" s="40"/>
      <c r="G239" s="264">
        <v>-70</v>
      </c>
      <c r="H239" s="350">
        <f t="shared" si="29"/>
        <v>-72.66</v>
      </c>
      <c r="I239" s="40">
        <f t="shared" si="23"/>
        <v>98</v>
      </c>
      <c r="J239" s="225" t="s">
        <v>144</v>
      </c>
      <c r="K239" s="264">
        <v>5988</v>
      </c>
      <c r="L239" s="350">
        <f t="shared" si="24"/>
        <v>6215.5439999999999</v>
      </c>
      <c r="M239" s="40"/>
      <c r="N239" s="40"/>
      <c r="O239" s="40"/>
      <c r="P239" s="40"/>
      <c r="Q239" s="263"/>
      <c r="R239" s="40"/>
      <c r="S239" s="40"/>
      <c r="T239" s="40"/>
      <c r="U239" s="40"/>
      <c r="V239" s="40"/>
      <c r="W239" s="40"/>
    </row>
    <row r="240" spans="1:23" ht="18" customHeight="1" thickBot="1">
      <c r="A240" s="40">
        <f t="shared" si="25"/>
        <v>35</v>
      </c>
      <c r="B240" s="40" t="s">
        <v>95</v>
      </c>
      <c r="C240" s="40"/>
      <c r="D240" s="231"/>
      <c r="E240" s="40"/>
      <c r="F240" s="40"/>
      <c r="G240" s="264">
        <v>2300</v>
      </c>
      <c r="H240" s="350">
        <f t="shared" si="29"/>
        <v>2387.4</v>
      </c>
      <c r="I240" s="40">
        <f t="shared" si="23"/>
        <v>99</v>
      </c>
      <c r="J240" s="228" t="s">
        <v>146</v>
      </c>
      <c r="K240" s="264">
        <v>8712</v>
      </c>
      <c r="L240" s="350">
        <f t="shared" si="24"/>
        <v>9043.0560000000005</v>
      </c>
      <c r="M240" s="40"/>
      <c r="N240" s="40"/>
      <c r="O240" s="40"/>
      <c r="P240" s="40"/>
      <c r="Q240" s="263"/>
      <c r="R240" s="40"/>
      <c r="S240" s="40"/>
      <c r="T240" s="40"/>
      <c r="U240" s="40"/>
      <c r="V240" s="40"/>
      <c r="W240" s="40"/>
    </row>
    <row r="241" spans="1:23" ht="18" customHeight="1" thickBot="1">
      <c r="A241" s="40">
        <f t="shared" si="25"/>
        <v>36</v>
      </c>
      <c r="B241" s="40" t="s">
        <v>97</v>
      </c>
      <c r="C241" s="40"/>
      <c r="D241" s="231"/>
      <c r="E241" s="40"/>
      <c r="F241" s="40"/>
      <c r="G241" s="264" t="s">
        <v>32</v>
      </c>
      <c r="H241" s="350"/>
      <c r="I241" s="40">
        <f>(I240+1)</f>
        <v>100</v>
      </c>
      <c r="J241" s="225" t="s">
        <v>148</v>
      </c>
      <c r="K241" s="264">
        <v>3602</v>
      </c>
      <c r="L241" s="350">
        <f t="shared" si="24"/>
        <v>3738.8760000000002</v>
      </c>
      <c r="M241" s="40"/>
      <c r="N241" s="229"/>
      <c r="O241" s="40"/>
      <c r="P241" s="40"/>
      <c r="Q241" s="263"/>
      <c r="R241" s="225"/>
      <c r="S241" s="40"/>
      <c r="T241" s="40"/>
      <c r="U241" s="40"/>
      <c r="V241" s="40"/>
      <c r="W241" s="40"/>
    </row>
    <row r="242" spans="1:23" ht="18" customHeight="1" thickBot="1">
      <c r="A242" s="40">
        <v>37</v>
      </c>
      <c r="B242" s="40" t="s">
        <v>103</v>
      </c>
      <c r="C242" s="40"/>
      <c r="D242" s="231"/>
      <c r="E242" s="40"/>
      <c r="F242" s="40"/>
      <c r="G242" s="264">
        <v>85</v>
      </c>
      <c r="H242" s="350">
        <f t="shared" ref="H242:H247" si="30">G242*1.038</f>
        <v>88.23</v>
      </c>
      <c r="I242" s="40">
        <f t="shared" si="23"/>
        <v>101</v>
      </c>
      <c r="J242" s="40" t="s">
        <v>150</v>
      </c>
      <c r="K242" s="266">
        <v>450</v>
      </c>
      <c r="L242" s="350">
        <f t="shared" si="24"/>
        <v>467.1</v>
      </c>
      <c r="M242" s="40"/>
      <c r="N242" s="229"/>
      <c r="O242" s="40"/>
      <c r="P242" s="40"/>
      <c r="Q242" s="263"/>
      <c r="R242" s="225"/>
      <c r="S242" s="40"/>
      <c r="T242" s="40"/>
      <c r="U242" s="40"/>
      <c r="V242" s="40"/>
      <c r="W242" s="40"/>
    </row>
    <row r="243" spans="1:23" ht="18" customHeight="1" thickBot="1">
      <c r="A243" s="40">
        <f t="shared" si="25"/>
        <v>38</v>
      </c>
      <c r="B243" s="40" t="s">
        <v>105</v>
      </c>
      <c r="C243" s="40"/>
      <c r="D243" s="231"/>
      <c r="E243" s="40"/>
      <c r="F243" s="40"/>
      <c r="G243" s="264">
        <v>85</v>
      </c>
      <c r="H243" s="350">
        <f t="shared" si="30"/>
        <v>88.23</v>
      </c>
      <c r="I243" s="40">
        <f t="shared" si="23"/>
        <v>102</v>
      </c>
      <c r="J243" s="40" t="s">
        <v>152</v>
      </c>
      <c r="K243" s="266">
        <v>350</v>
      </c>
      <c r="L243" s="350">
        <f t="shared" si="24"/>
        <v>363.3</v>
      </c>
      <c r="M243" s="229"/>
      <c r="N243" s="229"/>
      <c r="O243" s="40"/>
      <c r="P243" s="40"/>
      <c r="Q243" s="263"/>
      <c r="R243" s="225"/>
      <c r="S243" s="40"/>
      <c r="T243" s="40"/>
      <c r="U243" s="40"/>
      <c r="V243" s="40"/>
      <c r="W243" s="40"/>
    </row>
    <row r="244" spans="1:23" ht="18" customHeight="1" thickBot="1">
      <c r="A244" s="40">
        <f t="shared" si="25"/>
        <v>39</v>
      </c>
      <c r="B244" s="40" t="s">
        <v>107</v>
      </c>
      <c r="C244" s="40"/>
      <c r="D244" s="231"/>
      <c r="E244" s="40"/>
      <c r="F244" s="40"/>
      <c r="G244" s="264">
        <v>-525</v>
      </c>
      <c r="H244" s="350">
        <f t="shared" si="30"/>
        <v>-544.95000000000005</v>
      </c>
      <c r="I244" s="40">
        <f t="shared" si="23"/>
        <v>103</v>
      </c>
      <c r="J244" s="40" t="s">
        <v>154</v>
      </c>
      <c r="K244" s="266">
        <v>750</v>
      </c>
      <c r="L244" s="350">
        <f t="shared" si="24"/>
        <v>778.5</v>
      </c>
      <c r="M244" s="229"/>
      <c r="N244" s="40"/>
      <c r="O244" s="40"/>
      <c r="P244" s="40"/>
      <c r="Q244" s="263"/>
      <c r="R244" s="225"/>
      <c r="S244" s="40"/>
      <c r="T244" s="40"/>
      <c r="U244" s="40"/>
      <c r="V244" s="40"/>
      <c r="W244" s="40"/>
    </row>
    <row r="245" spans="1:23" ht="18" customHeight="1" thickBot="1">
      <c r="A245" s="40">
        <f t="shared" si="25"/>
        <v>40</v>
      </c>
      <c r="B245" s="40" t="s">
        <v>109</v>
      </c>
      <c r="C245" s="40"/>
      <c r="D245" s="231"/>
      <c r="E245" s="40"/>
      <c r="F245" s="40"/>
      <c r="G245" s="264">
        <v>505</v>
      </c>
      <c r="H245" s="350">
        <f t="shared" si="30"/>
        <v>524.19000000000005</v>
      </c>
      <c r="I245" s="40">
        <f t="shared" si="23"/>
        <v>104</v>
      </c>
      <c r="J245" s="40" t="s">
        <v>156</v>
      </c>
      <c r="K245" s="266">
        <v>975</v>
      </c>
      <c r="L245" s="350">
        <f t="shared" si="24"/>
        <v>1012.0500000000001</v>
      </c>
      <c r="M245" s="229"/>
      <c r="N245" s="40"/>
      <c r="O245" s="40"/>
      <c r="P245" s="40"/>
      <c r="Q245" s="263"/>
      <c r="R245" s="225"/>
      <c r="S245" s="40"/>
      <c r="T245" s="40"/>
      <c r="U245" s="40"/>
      <c r="V245" s="40"/>
      <c r="W245" s="40"/>
    </row>
    <row r="246" spans="1:23" ht="18" customHeight="1" thickBot="1">
      <c r="A246" s="40">
        <f t="shared" si="25"/>
        <v>41</v>
      </c>
      <c r="B246" s="40" t="s">
        <v>111</v>
      </c>
      <c r="C246" s="40"/>
      <c r="D246" s="231"/>
      <c r="E246" s="40"/>
      <c r="F246" s="40"/>
      <c r="G246" s="264">
        <v>1211</v>
      </c>
      <c r="H246" s="350">
        <f t="shared" si="30"/>
        <v>1257.018</v>
      </c>
      <c r="I246" s="40">
        <f>(I245+1)</f>
        <v>105</v>
      </c>
      <c r="J246" s="40" t="s">
        <v>157</v>
      </c>
      <c r="K246" s="266">
        <v>1350</v>
      </c>
      <c r="L246" s="350">
        <f t="shared" si="24"/>
        <v>1401.3</v>
      </c>
      <c r="M246" s="220"/>
      <c r="N246" s="40"/>
      <c r="O246" s="40"/>
      <c r="P246" s="40"/>
      <c r="Q246" s="263"/>
      <c r="R246" s="225"/>
      <c r="S246" s="40"/>
      <c r="T246" s="40"/>
      <c r="U246" s="40"/>
      <c r="V246" s="40"/>
      <c r="W246" s="40"/>
    </row>
    <row r="247" spans="1:23" ht="18" customHeight="1" thickBot="1">
      <c r="A247" s="40">
        <f t="shared" si="25"/>
        <v>42</v>
      </c>
      <c r="B247" s="225" t="s">
        <v>113</v>
      </c>
      <c r="C247" s="40"/>
      <c r="D247" s="231"/>
      <c r="E247" s="40"/>
      <c r="F247" s="40"/>
      <c r="G247" s="267">
        <v>175</v>
      </c>
      <c r="H247" s="350">
        <f t="shared" si="30"/>
        <v>181.65</v>
      </c>
      <c r="I247" s="40">
        <f t="shared" si="23"/>
        <v>106</v>
      </c>
      <c r="J247" s="40" t="s">
        <v>158</v>
      </c>
      <c r="K247" s="264">
        <v>1639</v>
      </c>
      <c r="L247" s="350">
        <f t="shared" si="24"/>
        <v>1701.2820000000002</v>
      </c>
      <c r="M247" s="40"/>
      <c r="N247" s="40"/>
      <c r="O247" s="40"/>
      <c r="P247" s="40"/>
      <c r="Q247" s="263"/>
      <c r="R247" s="225"/>
      <c r="S247" s="40"/>
      <c r="T247" s="40"/>
      <c r="U247" s="40"/>
      <c r="V247" s="40"/>
      <c r="W247" s="40"/>
    </row>
    <row r="248" spans="1:23" ht="18" customHeight="1" thickBot="1">
      <c r="A248" s="40">
        <f t="shared" si="25"/>
        <v>43</v>
      </c>
      <c r="B248" s="225" t="s">
        <v>115</v>
      </c>
      <c r="C248" s="40"/>
      <c r="D248" s="231"/>
      <c r="E248" s="40"/>
      <c r="F248" s="40"/>
      <c r="G248" s="264" t="s">
        <v>32</v>
      </c>
      <c r="H248" s="350"/>
      <c r="I248" s="40">
        <f t="shared" si="23"/>
        <v>107</v>
      </c>
      <c r="J248" s="40" t="s">
        <v>160</v>
      </c>
      <c r="K248" s="264">
        <v>1784</v>
      </c>
      <c r="L248" s="350">
        <f t="shared" si="24"/>
        <v>1851.7920000000001</v>
      </c>
      <c r="M248" s="40"/>
      <c r="N248" s="40"/>
      <c r="O248" s="40"/>
      <c r="P248" s="40"/>
      <c r="Q248" s="263"/>
      <c r="R248" s="225"/>
      <c r="S248" s="40"/>
      <c r="T248" s="40"/>
      <c r="U248" s="40"/>
      <c r="V248" s="40"/>
      <c r="W248" s="40"/>
    </row>
    <row r="249" spans="1:23" ht="18" customHeight="1" thickBot="1">
      <c r="A249" s="40">
        <f t="shared" si="25"/>
        <v>44</v>
      </c>
      <c r="B249" s="225" t="s">
        <v>220</v>
      </c>
      <c r="C249" s="40"/>
      <c r="D249" s="231"/>
      <c r="E249" s="40"/>
      <c r="F249" s="40"/>
      <c r="G249" s="264" t="s">
        <v>32</v>
      </c>
      <c r="H249" s="350"/>
      <c r="I249" s="40">
        <f t="shared" si="23"/>
        <v>108</v>
      </c>
      <c r="J249" s="40" t="s">
        <v>161</v>
      </c>
      <c r="K249" s="264">
        <v>1921</v>
      </c>
      <c r="L249" s="350">
        <f t="shared" si="24"/>
        <v>1993.998</v>
      </c>
      <c r="M249" s="40"/>
      <c r="N249" s="40"/>
      <c r="O249" s="40"/>
      <c r="P249" s="40"/>
      <c r="Q249" s="263"/>
      <c r="R249" s="225"/>
      <c r="S249" s="40"/>
      <c r="T249" s="40"/>
      <c r="U249" s="40"/>
      <c r="V249" s="40"/>
      <c r="W249" s="40"/>
    </row>
    <row r="250" spans="1:23" ht="18" customHeight="1" thickBot="1">
      <c r="A250" s="40">
        <f t="shared" si="25"/>
        <v>45</v>
      </c>
      <c r="B250" s="40" t="s">
        <v>119</v>
      </c>
      <c r="C250" s="40"/>
      <c r="D250" s="231"/>
      <c r="E250" s="40"/>
      <c r="F250" s="40"/>
      <c r="G250" s="264">
        <v>313</v>
      </c>
      <c r="H250" s="350">
        <f>G250*1.038</f>
        <v>324.89400000000001</v>
      </c>
      <c r="I250" s="40">
        <f t="shared" si="23"/>
        <v>109</v>
      </c>
      <c r="J250" s="40" t="s">
        <v>162</v>
      </c>
      <c r="K250" s="264">
        <v>2147</v>
      </c>
      <c r="L250" s="350">
        <f t="shared" si="24"/>
        <v>2228.5860000000002</v>
      </c>
      <c r="M250" s="40"/>
      <c r="N250" s="40"/>
      <c r="O250" s="40"/>
      <c r="P250" s="40"/>
      <c r="Q250" s="263"/>
      <c r="R250" s="225"/>
      <c r="S250" s="40"/>
      <c r="T250" s="40"/>
      <c r="U250" s="40"/>
      <c r="V250" s="40"/>
      <c r="W250" s="40"/>
    </row>
    <row r="251" spans="1:23" ht="18" customHeight="1" thickBot="1">
      <c r="A251" s="40">
        <f t="shared" si="25"/>
        <v>46</v>
      </c>
      <c r="B251" s="40" t="s">
        <v>121</v>
      </c>
      <c r="C251" s="40"/>
      <c r="D251" s="231"/>
      <c r="E251" s="40"/>
      <c r="F251" s="40"/>
      <c r="G251" s="264">
        <v>15</v>
      </c>
      <c r="H251" s="350">
        <f>G251*1.038</f>
        <v>15.57</v>
      </c>
      <c r="I251" s="40">
        <v>127</v>
      </c>
      <c r="J251" s="40" t="s">
        <v>164</v>
      </c>
      <c r="K251" s="267" t="s">
        <v>32</v>
      </c>
      <c r="L251" s="350"/>
      <c r="M251" s="40"/>
      <c r="N251" s="40"/>
      <c r="O251" s="40"/>
      <c r="P251" s="40"/>
      <c r="Q251" s="263"/>
      <c r="R251" s="225"/>
      <c r="S251" s="40"/>
      <c r="T251" s="40"/>
      <c r="U251" s="40"/>
      <c r="V251" s="40"/>
      <c r="W251" s="40"/>
    </row>
    <row r="252" spans="1:23" ht="18" customHeight="1" thickBot="1">
      <c r="A252" s="40">
        <f t="shared" si="25"/>
        <v>47</v>
      </c>
      <c r="B252" s="40" t="s">
        <v>123</v>
      </c>
      <c r="C252" s="40"/>
      <c r="D252" s="231"/>
      <c r="E252" s="40"/>
      <c r="F252" s="40"/>
      <c r="G252" s="264">
        <v>255</v>
      </c>
      <c r="H252" s="350">
        <f>G252*1.038</f>
        <v>264.69</v>
      </c>
      <c r="I252" s="40">
        <v>128</v>
      </c>
      <c r="J252" s="40" t="s">
        <v>222</v>
      </c>
      <c r="K252" s="264">
        <v>200</v>
      </c>
      <c r="L252" s="350">
        <f t="shared" si="24"/>
        <v>207.6</v>
      </c>
      <c r="M252" s="40"/>
      <c r="N252" s="40"/>
      <c r="O252" s="40"/>
      <c r="P252" s="40"/>
      <c r="Q252" s="263"/>
      <c r="R252" s="225"/>
      <c r="S252" s="40"/>
      <c r="T252" s="40"/>
      <c r="U252" s="40"/>
      <c r="V252" s="40"/>
      <c r="W252" s="40"/>
    </row>
    <row r="253" spans="1:23" ht="18" customHeight="1" thickBot="1">
      <c r="A253" s="40">
        <f t="shared" si="25"/>
        <v>48</v>
      </c>
      <c r="B253" s="40" t="s">
        <v>125</v>
      </c>
      <c r="C253" s="40"/>
      <c r="D253" s="231"/>
      <c r="E253" s="40"/>
      <c r="F253" s="40"/>
      <c r="G253" s="264">
        <v>521</v>
      </c>
      <c r="H253" s="350">
        <f>G253*1.038</f>
        <v>540.798</v>
      </c>
      <c r="I253" s="40">
        <v>129</v>
      </c>
      <c r="J253" s="40" t="s">
        <v>166</v>
      </c>
      <c r="K253" s="264">
        <v>950</v>
      </c>
      <c r="L253" s="350">
        <f t="shared" si="24"/>
        <v>986.1</v>
      </c>
      <c r="M253" s="40"/>
      <c r="N253" s="40"/>
      <c r="O253" s="40"/>
      <c r="P253" s="40"/>
      <c r="Q253" s="263"/>
      <c r="R253" s="225"/>
      <c r="S253" s="40"/>
      <c r="T253" s="40"/>
      <c r="U253" s="40"/>
      <c r="V253" s="40"/>
      <c r="W253" s="40"/>
    </row>
    <row r="254" spans="1:23" ht="18" customHeight="1" thickBot="1">
      <c r="A254" s="40">
        <f t="shared" si="25"/>
        <v>49</v>
      </c>
      <c r="B254" s="40" t="s">
        <v>127</v>
      </c>
      <c r="C254" s="40"/>
      <c r="D254" s="231"/>
      <c r="E254" s="40"/>
      <c r="F254" s="40"/>
      <c r="G254" s="264">
        <v>677</v>
      </c>
      <c r="H254" s="350">
        <f>G254*1.038</f>
        <v>702.726</v>
      </c>
      <c r="I254" s="40">
        <v>130</v>
      </c>
      <c r="J254" s="40" t="s">
        <v>167</v>
      </c>
      <c r="K254" s="264">
        <v>2680</v>
      </c>
      <c r="L254" s="350">
        <f t="shared" si="24"/>
        <v>2781.84</v>
      </c>
      <c r="M254" s="40"/>
      <c r="N254" s="40"/>
      <c r="O254" s="40"/>
      <c r="P254" s="40"/>
      <c r="Q254" s="263"/>
      <c r="R254" s="225"/>
      <c r="S254" s="40"/>
      <c r="T254" s="40"/>
      <c r="U254" s="40"/>
      <c r="V254" s="40"/>
      <c r="W254" s="40"/>
    </row>
    <row r="255" spans="1:23" ht="18" customHeight="1" thickBot="1">
      <c r="A255" s="40">
        <v>52</v>
      </c>
      <c r="B255" s="40" t="s">
        <v>790</v>
      </c>
      <c r="C255" s="220"/>
      <c r="D255" s="231"/>
      <c r="E255" s="40"/>
      <c r="F255" s="40"/>
      <c r="G255" s="264" t="s">
        <v>32</v>
      </c>
      <c r="H255" s="350"/>
      <c r="I255" s="40">
        <v>131</v>
      </c>
      <c r="J255" s="40" t="s">
        <v>168</v>
      </c>
      <c r="K255" s="264">
        <v>75</v>
      </c>
      <c r="L255" s="350">
        <f t="shared" si="24"/>
        <v>77.850000000000009</v>
      </c>
      <c r="M255" s="40"/>
      <c r="N255" s="40"/>
      <c r="O255" s="40"/>
      <c r="P255" s="40"/>
      <c r="Q255" s="263"/>
      <c r="R255" s="225"/>
      <c r="S255" s="40"/>
      <c r="T255" s="40"/>
      <c r="U255" s="40"/>
      <c r="V255" s="40"/>
      <c r="W255" s="40"/>
    </row>
    <row r="256" spans="1:23" ht="18" customHeight="1" thickBot="1">
      <c r="A256" s="40">
        <f t="shared" ref="A256" si="31">A255+1</f>
        <v>53</v>
      </c>
      <c r="B256" s="40" t="s">
        <v>106</v>
      </c>
      <c r="C256" s="40"/>
      <c r="D256" s="231"/>
      <c r="E256" s="40"/>
      <c r="F256" s="40"/>
      <c r="G256" s="264">
        <v>7946</v>
      </c>
      <c r="H256" s="350">
        <f>G256*1.038</f>
        <v>8247.9480000000003</v>
      </c>
      <c r="I256" s="40"/>
      <c r="J256" s="40"/>
      <c r="K256" s="262"/>
      <c r="L256" s="40"/>
      <c r="M256" s="40"/>
      <c r="N256" s="40"/>
      <c r="O256" s="40"/>
      <c r="P256" s="40"/>
      <c r="Q256" s="263"/>
      <c r="R256" s="40"/>
      <c r="S256" s="40"/>
      <c r="T256" s="40"/>
      <c r="U256" s="40"/>
      <c r="V256" s="40"/>
      <c r="W256" s="40"/>
    </row>
    <row r="257" spans="1:23" ht="18" customHeight="1">
      <c r="A257" s="40"/>
      <c r="B257" s="40"/>
      <c r="C257" s="40"/>
      <c r="D257" s="231"/>
      <c r="E257" s="40"/>
      <c r="F257" s="40"/>
      <c r="G257" s="262"/>
      <c r="H257" s="231"/>
      <c r="I257" s="40"/>
      <c r="J257" s="40"/>
      <c r="K257" s="262"/>
      <c r="L257" s="40"/>
      <c r="M257" s="40"/>
      <c r="N257" s="40"/>
      <c r="O257" s="40"/>
      <c r="P257" s="40"/>
      <c r="Q257" s="263"/>
      <c r="R257" s="40"/>
      <c r="S257" s="40"/>
      <c r="T257" s="40"/>
      <c r="U257" s="40"/>
      <c r="V257" s="40"/>
      <c r="W257" s="40"/>
    </row>
    <row r="258" spans="1:23" ht="18" customHeight="1">
      <c r="A258" s="40"/>
      <c r="B258" s="220" t="s">
        <v>807</v>
      </c>
      <c r="C258" s="40"/>
      <c r="D258" s="231"/>
      <c r="E258" s="40"/>
      <c r="F258" s="40"/>
      <c r="G258" s="262"/>
      <c r="H258" s="231"/>
      <c r="I258" s="40"/>
      <c r="J258" s="220" t="s">
        <v>800</v>
      </c>
      <c r="K258" s="220" t="s">
        <v>1027</v>
      </c>
      <c r="L258" s="40"/>
      <c r="M258" s="40"/>
      <c r="N258" s="40"/>
      <c r="O258" s="40"/>
      <c r="P258" s="40"/>
      <c r="Q258" s="263"/>
      <c r="R258" s="40"/>
      <c r="S258" s="40"/>
      <c r="T258" s="40"/>
      <c r="U258" s="40"/>
      <c r="V258" s="40"/>
      <c r="W258" s="40"/>
    </row>
    <row r="259" spans="1:23" ht="18" customHeight="1">
      <c r="A259" s="40"/>
      <c r="B259" s="220" t="s">
        <v>758</v>
      </c>
      <c r="C259" s="40"/>
      <c r="D259" s="231"/>
      <c r="E259" s="40"/>
      <c r="F259" s="40"/>
      <c r="G259" s="262"/>
      <c r="H259" s="231"/>
      <c r="I259" s="40"/>
      <c r="J259" s="220" t="s">
        <v>806</v>
      </c>
      <c r="K259" s="220" t="s">
        <v>794</v>
      </c>
      <c r="L259" s="40"/>
      <c r="M259" s="40"/>
      <c r="N259" s="40"/>
      <c r="O259" s="40"/>
      <c r="P259" s="40"/>
      <c r="Q259" s="263"/>
      <c r="R259" s="40"/>
      <c r="S259" s="40"/>
      <c r="T259" s="40"/>
      <c r="U259" s="40"/>
      <c r="V259" s="40"/>
      <c r="W259" s="40"/>
    </row>
    <row r="260" spans="1:23" ht="18" customHeight="1">
      <c r="A260" s="40"/>
      <c r="B260" s="220" t="s">
        <v>0</v>
      </c>
      <c r="C260" s="40"/>
      <c r="D260" s="231"/>
      <c r="E260" s="40"/>
      <c r="F260" s="40"/>
      <c r="G260" s="263"/>
      <c r="H260" s="231"/>
      <c r="I260" s="40"/>
      <c r="J260" s="40"/>
      <c r="K260" s="220" t="s">
        <v>1026</v>
      </c>
      <c r="L260" s="40"/>
      <c r="M260" s="40"/>
      <c r="N260" s="40"/>
      <c r="O260" s="40"/>
      <c r="P260" s="40"/>
      <c r="Q260" s="263"/>
      <c r="R260" s="40"/>
      <c r="S260" s="40"/>
      <c r="T260" s="40"/>
      <c r="U260" s="40"/>
      <c r="V260" s="40"/>
      <c r="W260" s="40"/>
    </row>
    <row r="261" spans="1:23" ht="18" customHeight="1">
      <c r="A261" s="40"/>
      <c r="B261" s="220"/>
      <c r="C261" s="40"/>
      <c r="D261" s="231"/>
      <c r="E261" s="40"/>
      <c r="F261" s="40"/>
      <c r="G261" s="262" t="s">
        <v>761</v>
      </c>
      <c r="H261" s="231"/>
      <c r="I261" s="40"/>
      <c r="J261" s="40"/>
      <c r="K261" s="220"/>
      <c r="L261" s="40"/>
      <c r="M261" s="40"/>
      <c r="N261" s="40"/>
      <c r="O261" s="40"/>
      <c r="P261" s="40"/>
      <c r="Q261" s="263"/>
      <c r="R261" s="40"/>
      <c r="S261" s="40"/>
      <c r="T261" s="40"/>
      <c r="U261" s="40"/>
      <c r="V261" s="40"/>
      <c r="W261" s="40"/>
    </row>
    <row r="262" spans="1:23" ht="18" customHeight="1" thickBot="1">
      <c r="A262" s="40"/>
      <c r="B262" s="220" t="s">
        <v>759</v>
      </c>
      <c r="C262" s="220" t="s">
        <v>760</v>
      </c>
      <c r="D262" s="264">
        <v>259320</v>
      </c>
      <c r="E262" s="223"/>
      <c r="F262" s="350">
        <f>D262*1.038</f>
        <v>269174.16000000003</v>
      </c>
      <c r="G262" s="263" t="s">
        <v>802</v>
      </c>
      <c r="H262" s="236" t="s">
        <v>204</v>
      </c>
      <c r="I262" s="223"/>
      <c r="J262" s="40"/>
      <c r="K262" s="40"/>
      <c r="L262" s="40"/>
      <c r="M262" s="40"/>
      <c r="N262" s="40"/>
      <c r="O262" s="40"/>
      <c r="P262" s="40"/>
      <c r="Q262" s="263"/>
      <c r="R262" s="40"/>
      <c r="S262" s="40"/>
      <c r="T262" s="40"/>
      <c r="U262" s="40"/>
      <c r="V262" s="40"/>
      <c r="W262" s="40"/>
    </row>
    <row r="263" spans="1:23" ht="18" customHeight="1">
      <c r="A263" s="40"/>
      <c r="B263" s="220"/>
      <c r="C263" s="220"/>
      <c r="D263" s="231"/>
      <c r="E263" s="40"/>
      <c r="F263" s="40"/>
      <c r="G263" s="263"/>
      <c r="H263" s="231"/>
      <c r="I263" s="40"/>
      <c r="J263" s="40"/>
      <c r="K263" s="262"/>
      <c r="L263" s="40"/>
      <c r="M263" s="40"/>
      <c r="N263" s="40"/>
      <c r="O263" s="40"/>
      <c r="P263" s="40"/>
      <c r="Q263" s="263"/>
      <c r="R263" s="40"/>
      <c r="S263" s="40"/>
      <c r="T263" s="40"/>
      <c r="U263" s="40"/>
      <c r="V263" s="40"/>
      <c r="W263" s="40"/>
    </row>
    <row r="264" spans="1:23" ht="18" customHeight="1" thickBot="1">
      <c r="A264" s="40"/>
      <c r="B264" s="220" t="s">
        <v>759</v>
      </c>
      <c r="C264" s="220" t="s">
        <v>763</v>
      </c>
      <c r="D264" s="236" t="s">
        <v>204</v>
      </c>
      <c r="E264" s="223"/>
      <c r="F264" s="40"/>
      <c r="G264" s="263" t="s">
        <v>803</v>
      </c>
      <c r="H264" s="236" t="s">
        <v>204</v>
      </c>
      <c r="I264" s="223"/>
      <c r="J264" s="40"/>
      <c r="K264" s="262"/>
      <c r="L264" s="40"/>
      <c r="M264" s="40"/>
      <c r="N264" s="40"/>
      <c r="O264" s="40"/>
      <c r="P264" s="40"/>
      <c r="Q264" s="263"/>
      <c r="R264" s="40"/>
      <c r="S264" s="40"/>
      <c r="T264" s="40"/>
      <c r="U264" s="40"/>
      <c r="V264" s="40"/>
      <c r="W264" s="40"/>
    </row>
    <row r="265" spans="1:23" ht="18" customHeight="1">
      <c r="A265" s="40"/>
      <c r="B265" s="40"/>
      <c r="C265" s="40"/>
      <c r="D265" s="231"/>
      <c r="E265" s="40"/>
      <c r="F265" s="40"/>
      <c r="G265" s="262"/>
      <c r="H265" s="231"/>
      <c r="I265" s="40"/>
      <c r="J265" s="40"/>
      <c r="K265" s="262"/>
      <c r="L265" s="40"/>
      <c r="M265" s="40"/>
      <c r="N265" s="40"/>
      <c r="O265" s="40"/>
      <c r="P265" s="40"/>
      <c r="Q265" s="263"/>
      <c r="R265" s="40"/>
      <c r="S265" s="40"/>
      <c r="T265" s="40"/>
      <c r="U265" s="40"/>
      <c r="V265" s="40"/>
      <c r="W265" s="40"/>
    </row>
    <row r="266" spans="1:23" ht="18" customHeight="1">
      <c r="A266" s="40"/>
      <c r="B266" s="40"/>
      <c r="C266" s="40"/>
      <c r="D266" s="231"/>
      <c r="E266" s="40"/>
      <c r="F266" s="40"/>
      <c r="G266" s="262"/>
      <c r="H266" s="231"/>
      <c r="I266" s="40"/>
      <c r="J266" s="40"/>
      <c r="K266" s="262"/>
      <c r="L266" s="40"/>
      <c r="M266" s="40"/>
      <c r="N266" s="40"/>
      <c r="O266" s="40"/>
      <c r="P266" s="40"/>
      <c r="Q266" s="263"/>
      <c r="R266" s="40"/>
      <c r="S266" s="40"/>
      <c r="T266" s="40"/>
      <c r="U266" s="40"/>
      <c r="V266" s="40"/>
      <c r="W266" s="40"/>
    </row>
    <row r="267" spans="1:23" ht="18" customHeight="1">
      <c r="A267" s="40"/>
      <c r="B267" s="224" t="s">
        <v>22</v>
      </c>
      <c r="C267" s="40"/>
      <c r="D267" s="231"/>
      <c r="E267" s="40"/>
      <c r="F267" s="40"/>
      <c r="G267" s="262"/>
      <c r="H267" s="231"/>
      <c r="I267" s="40"/>
      <c r="J267" s="40"/>
      <c r="K267" s="262"/>
      <c r="L267" s="40"/>
      <c r="M267" s="40"/>
      <c r="N267" s="40"/>
      <c r="O267" s="40"/>
      <c r="P267" s="40"/>
      <c r="Q267" s="263"/>
      <c r="R267" s="40"/>
      <c r="S267" s="40"/>
      <c r="T267" s="40"/>
      <c r="U267" s="40"/>
      <c r="V267" s="40"/>
      <c r="W267" s="40"/>
    </row>
    <row r="268" spans="1:23" ht="18" customHeight="1" thickBot="1">
      <c r="A268" s="40">
        <v>1</v>
      </c>
      <c r="B268" s="225" t="s">
        <v>23</v>
      </c>
      <c r="C268" s="40"/>
      <c r="D268" s="231"/>
      <c r="E268" s="40"/>
      <c r="F268" s="40"/>
      <c r="G268" s="264">
        <v>1408</v>
      </c>
      <c r="H268" s="350">
        <f t="shared" ref="H268:H281" si="32">G268*1.038</f>
        <v>1461.5040000000001</v>
      </c>
      <c r="I268" s="40">
        <v>64</v>
      </c>
      <c r="J268" s="225" t="s">
        <v>809</v>
      </c>
      <c r="K268" s="264">
        <v>450</v>
      </c>
      <c r="L268" s="350">
        <f t="shared" ref="L268:L317" si="33">K268*1.038</f>
        <v>467.1</v>
      </c>
      <c r="M268" s="40"/>
      <c r="N268" s="40">
        <v>132</v>
      </c>
      <c r="O268" s="40" t="s">
        <v>25</v>
      </c>
      <c r="P268" s="40"/>
      <c r="Q268" s="264">
        <v>6120</v>
      </c>
      <c r="R268" s="350">
        <f t="shared" ref="R268:R288" si="34">Q268*1.038</f>
        <v>6352.56</v>
      </c>
      <c r="S268" s="40"/>
      <c r="T268" s="40"/>
      <c r="U268" s="40"/>
      <c r="V268" s="40"/>
      <c r="W268" s="40"/>
    </row>
    <row r="269" spans="1:23" ht="18" customHeight="1" thickBot="1">
      <c r="A269" s="40">
        <f>(A268+1)</f>
        <v>2</v>
      </c>
      <c r="B269" s="225" t="s">
        <v>26</v>
      </c>
      <c r="C269" s="40"/>
      <c r="D269" s="231"/>
      <c r="E269" s="40"/>
      <c r="F269" s="40"/>
      <c r="G269" s="264">
        <v>1326</v>
      </c>
      <c r="H269" s="350">
        <f t="shared" si="32"/>
        <v>1376.3880000000001</v>
      </c>
      <c r="I269" s="40">
        <f t="shared" ref="I269:I312" si="35">(I268+1)</f>
        <v>65</v>
      </c>
      <c r="J269" s="225" t="s">
        <v>69</v>
      </c>
      <c r="K269" s="264">
        <v>-400</v>
      </c>
      <c r="L269" s="350">
        <f t="shared" si="33"/>
        <v>-415.2</v>
      </c>
      <c r="M269" s="40"/>
      <c r="N269" s="40">
        <v>133</v>
      </c>
      <c r="O269" s="40" t="s">
        <v>28</v>
      </c>
      <c r="P269" s="40"/>
      <c r="Q269" s="264">
        <v>7545</v>
      </c>
      <c r="R269" s="350">
        <f t="shared" si="34"/>
        <v>7831.71</v>
      </c>
      <c r="S269" s="40"/>
      <c r="T269" s="40"/>
      <c r="U269" s="40"/>
      <c r="V269" s="40"/>
      <c r="W269" s="40"/>
    </row>
    <row r="270" spans="1:23" ht="18" customHeight="1" thickBot="1">
      <c r="A270" s="40">
        <f t="shared" ref="A270:A316" si="36">(A269+1)</f>
        <v>3</v>
      </c>
      <c r="B270" s="225" t="s">
        <v>29</v>
      </c>
      <c r="C270" s="40"/>
      <c r="D270" s="231"/>
      <c r="E270" s="40"/>
      <c r="F270" s="40"/>
      <c r="G270" s="264">
        <v>881</v>
      </c>
      <c r="H270" s="350">
        <f t="shared" si="32"/>
        <v>914.47800000000007</v>
      </c>
      <c r="I270" s="40">
        <f t="shared" si="35"/>
        <v>66</v>
      </c>
      <c r="J270" s="225" t="s">
        <v>71</v>
      </c>
      <c r="K270" s="264">
        <v>433</v>
      </c>
      <c r="L270" s="350">
        <f t="shared" si="33"/>
        <v>449.45400000000001</v>
      </c>
      <c r="M270" s="40"/>
      <c r="N270" s="40">
        <v>134</v>
      </c>
      <c r="O270" s="225" t="s">
        <v>31</v>
      </c>
      <c r="P270" s="225"/>
      <c r="Q270" s="264">
        <v>1077</v>
      </c>
      <c r="R270" s="350">
        <f t="shared" si="34"/>
        <v>1117.9259999999999</v>
      </c>
      <c r="S270" s="40" t="s">
        <v>33</v>
      </c>
      <c r="T270" s="40"/>
      <c r="U270" s="40"/>
      <c r="V270" s="40"/>
      <c r="W270" s="40"/>
    </row>
    <row r="271" spans="1:23" ht="18" customHeight="1" thickBot="1">
      <c r="A271" s="40">
        <f t="shared" si="36"/>
        <v>4</v>
      </c>
      <c r="B271" s="225" t="s">
        <v>34</v>
      </c>
      <c r="C271" s="40"/>
      <c r="D271" s="231"/>
      <c r="E271" s="40"/>
      <c r="F271" s="40"/>
      <c r="G271" s="264">
        <v>900</v>
      </c>
      <c r="H271" s="350">
        <f t="shared" si="32"/>
        <v>934.2</v>
      </c>
      <c r="I271" s="40">
        <f t="shared" si="35"/>
        <v>67</v>
      </c>
      <c r="J271" s="225" t="s">
        <v>73</v>
      </c>
      <c r="K271" s="264">
        <v>1421</v>
      </c>
      <c r="L271" s="350">
        <f t="shared" si="33"/>
        <v>1474.998</v>
      </c>
      <c r="M271" s="40"/>
      <c r="N271" s="40">
        <v>135</v>
      </c>
      <c r="O271" s="226" t="s">
        <v>36</v>
      </c>
      <c r="P271" s="226"/>
      <c r="Q271" s="264">
        <v>333</v>
      </c>
      <c r="R271" s="350">
        <f t="shared" si="34"/>
        <v>345.654</v>
      </c>
      <c r="S271" s="40" t="s">
        <v>33</v>
      </c>
      <c r="T271" s="40"/>
      <c r="U271" s="40"/>
      <c r="V271" s="40"/>
      <c r="W271" s="40"/>
    </row>
    <row r="272" spans="1:23" ht="18" customHeight="1" thickBot="1">
      <c r="A272" s="40">
        <f t="shared" si="36"/>
        <v>5</v>
      </c>
      <c r="B272" s="225" t="s">
        <v>37</v>
      </c>
      <c r="C272" s="40"/>
      <c r="D272" s="231"/>
      <c r="E272" s="40"/>
      <c r="F272" s="40"/>
      <c r="G272" s="264">
        <v>1254</v>
      </c>
      <c r="H272" s="350">
        <f t="shared" si="32"/>
        <v>1301.652</v>
      </c>
      <c r="I272" s="40">
        <f t="shared" si="35"/>
        <v>68</v>
      </c>
      <c r="J272" s="225" t="s">
        <v>75</v>
      </c>
      <c r="K272" s="264">
        <v>135</v>
      </c>
      <c r="L272" s="350">
        <f t="shared" si="33"/>
        <v>140.13</v>
      </c>
      <c r="M272" s="40"/>
      <c r="N272" s="40">
        <v>136</v>
      </c>
      <c r="O272" s="225" t="s">
        <v>765</v>
      </c>
      <c r="P272" s="225"/>
      <c r="Q272" s="265">
        <v>876</v>
      </c>
      <c r="R272" s="350">
        <f t="shared" si="34"/>
        <v>909.28800000000001</v>
      </c>
      <c r="S272" s="40" t="s">
        <v>210</v>
      </c>
      <c r="T272" s="40"/>
      <c r="U272" s="40"/>
      <c r="V272" s="40"/>
      <c r="W272" s="40"/>
    </row>
    <row r="273" spans="1:23" ht="18" customHeight="1" thickBot="1">
      <c r="A273" s="40">
        <v>6</v>
      </c>
      <c r="B273" s="225" t="s">
        <v>766</v>
      </c>
      <c r="C273" s="40"/>
      <c r="D273" s="231"/>
      <c r="E273" s="40"/>
      <c r="F273" s="40"/>
      <c r="G273" s="264">
        <v>1351</v>
      </c>
      <c r="H273" s="350">
        <f t="shared" si="32"/>
        <v>1402.338</v>
      </c>
      <c r="I273" s="40">
        <f t="shared" si="35"/>
        <v>69</v>
      </c>
      <c r="J273" s="225" t="s">
        <v>78</v>
      </c>
      <c r="K273" s="264">
        <v>1077</v>
      </c>
      <c r="L273" s="350">
        <f t="shared" si="33"/>
        <v>1117.9259999999999</v>
      </c>
      <c r="M273" s="40"/>
      <c r="N273" s="40">
        <f>N272+1</f>
        <v>137</v>
      </c>
      <c r="O273" s="40" t="s">
        <v>767</v>
      </c>
      <c r="P273" s="40"/>
      <c r="Q273" s="265">
        <v>200</v>
      </c>
      <c r="R273" s="350">
        <f t="shared" si="34"/>
        <v>207.6</v>
      </c>
      <c r="S273" s="40"/>
      <c r="T273" s="40"/>
      <c r="U273" s="40"/>
      <c r="V273" s="40"/>
      <c r="W273" s="40"/>
    </row>
    <row r="274" spans="1:23" ht="18" customHeight="1" thickBot="1">
      <c r="A274" s="40">
        <v>7</v>
      </c>
      <c r="B274" s="225" t="s">
        <v>768</v>
      </c>
      <c r="C274" s="40"/>
      <c r="D274" s="231"/>
      <c r="E274" s="40"/>
      <c r="F274" s="40"/>
      <c r="G274" s="264">
        <v>1202</v>
      </c>
      <c r="H274" s="350">
        <f t="shared" si="32"/>
        <v>1247.6759999999999</v>
      </c>
      <c r="I274" s="40">
        <v>70</v>
      </c>
      <c r="J274" s="225" t="s">
        <v>82</v>
      </c>
      <c r="K274" s="264">
        <v>261</v>
      </c>
      <c r="L274" s="350">
        <f t="shared" si="33"/>
        <v>270.91800000000001</v>
      </c>
      <c r="M274" s="40"/>
      <c r="N274" s="40">
        <f t="shared" ref="N274:N280" si="37">N273+1</f>
        <v>138</v>
      </c>
      <c r="O274" s="40" t="s">
        <v>769</v>
      </c>
      <c r="P274" s="40"/>
      <c r="Q274" s="265">
        <v>3500</v>
      </c>
      <c r="R274" s="350">
        <f t="shared" si="34"/>
        <v>3633</v>
      </c>
      <c r="S274" s="40"/>
      <c r="T274" s="40"/>
      <c r="U274" s="220"/>
      <c r="V274" s="220"/>
      <c r="W274" s="40"/>
    </row>
    <row r="275" spans="1:23" ht="18" customHeight="1" thickBot="1">
      <c r="A275" s="40">
        <v>8</v>
      </c>
      <c r="B275" s="225" t="s">
        <v>39</v>
      </c>
      <c r="C275" s="40"/>
      <c r="D275" s="231"/>
      <c r="E275" s="40"/>
      <c r="F275" s="40"/>
      <c r="G275" s="264">
        <v>1599</v>
      </c>
      <c r="H275" s="350">
        <f t="shared" si="32"/>
        <v>1659.7619999999999</v>
      </c>
      <c r="I275" s="40">
        <f t="shared" si="35"/>
        <v>71</v>
      </c>
      <c r="J275" s="225" t="s">
        <v>84</v>
      </c>
      <c r="K275" s="264">
        <v>333</v>
      </c>
      <c r="L275" s="350">
        <f t="shared" si="33"/>
        <v>345.654</v>
      </c>
      <c r="M275" s="40"/>
      <c r="N275" s="40">
        <f t="shared" si="37"/>
        <v>139</v>
      </c>
      <c r="O275" s="40" t="s">
        <v>771</v>
      </c>
      <c r="P275" s="40"/>
      <c r="Q275" s="265">
        <v>5500</v>
      </c>
      <c r="R275" s="350">
        <f t="shared" si="34"/>
        <v>5709</v>
      </c>
      <c r="S275" s="40"/>
      <c r="T275" s="40"/>
      <c r="U275" s="220"/>
      <c r="V275" s="220"/>
      <c r="W275" s="40"/>
    </row>
    <row r="276" spans="1:23" ht="18" customHeight="1" thickBot="1">
      <c r="A276" s="40">
        <f t="shared" si="36"/>
        <v>9</v>
      </c>
      <c r="B276" s="225" t="s">
        <v>41</v>
      </c>
      <c r="C276" s="40"/>
      <c r="D276" s="231"/>
      <c r="E276" s="40"/>
      <c r="F276" s="40"/>
      <c r="G276" s="264">
        <v>1791</v>
      </c>
      <c r="H276" s="350">
        <f t="shared" si="32"/>
        <v>1859.058</v>
      </c>
      <c r="I276" s="40">
        <f t="shared" si="35"/>
        <v>72</v>
      </c>
      <c r="J276" s="225" t="s">
        <v>86</v>
      </c>
      <c r="K276" s="264" t="s">
        <v>32</v>
      </c>
      <c r="L276" s="350"/>
      <c r="M276" s="40"/>
      <c r="N276" s="40">
        <f t="shared" si="37"/>
        <v>140</v>
      </c>
      <c r="O276" s="40" t="s">
        <v>772</v>
      </c>
      <c r="P276" s="40"/>
      <c r="Q276" s="265" t="s">
        <v>32</v>
      </c>
      <c r="R276" s="350"/>
      <c r="S276" s="40"/>
      <c r="T276" s="40"/>
      <c r="U276" s="220"/>
      <c r="V276" s="220"/>
      <c r="W276" s="40"/>
    </row>
    <row r="277" spans="1:23" ht="18" customHeight="1" thickBot="1">
      <c r="A277" s="40">
        <f>(A276+1)</f>
        <v>10</v>
      </c>
      <c r="B277" s="225" t="s">
        <v>43</v>
      </c>
      <c r="C277" s="40"/>
      <c r="D277" s="231"/>
      <c r="E277" s="40"/>
      <c r="F277" s="40"/>
      <c r="G277" s="264">
        <v>1404</v>
      </c>
      <c r="H277" s="350">
        <f t="shared" si="32"/>
        <v>1457.3520000000001</v>
      </c>
      <c r="I277" s="40">
        <f t="shared" si="35"/>
        <v>73</v>
      </c>
      <c r="J277" s="225" t="s">
        <v>88</v>
      </c>
      <c r="K277" s="264">
        <v>249</v>
      </c>
      <c r="L277" s="350">
        <f t="shared" si="33"/>
        <v>258.46199999999999</v>
      </c>
      <c r="M277" s="40"/>
      <c r="N277" s="40">
        <f t="shared" si="37"/>
        <v>141</v>
      </c>
      <c r="O277" s="40" t="s">
        <v>773</v>
      </c>
      <c r="P277" s="40"/>
      <c r="Q277" s="265" t="s">
        <v>804</v>
      </c>
      <c r="R277" s="350"/>
      <c r="S277" s="40" t="s">
        <v>774</v>
      </c>
      <c r="T277" s="40"/>
      <c r="U277" s="220"/>
      <c r="V277" s="220"/>
      <c r="W277" s="40"/>
    </row>
    <row r="278" spans="1:23" ht="18" customHeight="1" thickBot="1">
      <c r="A278" s="40">
        <f t="shared" si="36"/>
        <v>11</v>
      </c>
      <c r="B278" s="225" t="s">
        <v>45</v>
      </c>
      <c r="C278" s="40"/>
      <c r="D278" s="231"/>
      <c r="E278" s="40"/>
      <c r="F278" s="40"/>
      <c r="G278" s="264">
        <v>-334</v>
      </c>
      <c r="H278" s="350">
        <f t="shared" si="32"/>
        <v>-346.69200000000001</v>
      </c>
      <c r="I278" s="40">
        <f t="shared" si="35"/>
        <v>74</v>
      </c>
      <c r="J278" s="40" t="s">
        <v>90</v>
      </c>
      <c r="K278" s="264">
        <v>299</v>
      </c>
      <c r="L278" s="350">
        <f t="shared" si="33"/>
        <v>310.36200000000002</v>
      </c>
      <c r="M278" s="40"/>
      <c r="N278" s="40">
        <f t="shared" si="37"/>
        <v>142</v>
      </c>
      <c r="O278" s="40" t="s">
        <v>775</v>
      </c>
      <c r="P278" s="40"/>
      <c r="Q278" s="265" t="s">
        <v>32</v>
      </c>
      <c r="R278" s="350"/>
      <c r="S278" s="40" t="s">
        <v>776</v>
      </c>
      <c r="T278" s="40"/>
      <c r="U278" s="220"/>
      <c r="V278" s="220"/>
      <c r="W278" s="40"/>
    </row>
    <row r="279" spans="1:23" ht="18" customHeight="1" thickBot="1">
      <c r="A279" s="40">
        <f t="shared" si="36"/>
        <v>12</v>
      </c>
      <c r="B279" s="225" t="s">
        <v>47</v>
      </c>
      <c r="C279" s="40"/>
      <c r="D279" s="231"/>
      <c r="E279" s="40"/>
      <c r="F279" s="40"/>
      <c r="G279" s="264">
        <v>1407</v>
      </c>
      <c r="H279" s="350">
        <f t="shared" si="32"/>
        <v>1460.4660000000001</v>
      </c>
      <c r="I279" s="40">
        <f t="shared" si="35"/>
        <v>75</v>
      </c>
      <c r="J279" s="225" t="s">
        <v>92</v>
      </c>
      <c r="K279" s="264" t="s">
        <v>32</v>
      </c>
      <c r="L279" s="350"/>
      <c r="M279" s="40"/>
      <c r="N279" s="40">
        <f t="shared" si="37"/>
        <v>143</v>
      </c>
      <c r="O279" s="40" t="s">
        <v>777</v>
      </c>
      <c r="P279" s="40"/>
      <c r="Q279" s="265" t="s">
        <v>32</v>
      </c>
      <c r="R279" s="350"/>
      <c r="S279" s="40" t="s">
        <v>776</v>
      </c>
      <c r="T279" s="40"/>
      <c r="U279" s="220"/>
      <c r="V279" s="220"/>
      <c r="W279" s="40"/>
    </row>
    <row r="280" spans="1:23" ht="18" customHeight="1" thickBot="1">
      <c r="A280" s="40">
        <f t="shared" si="36"/>
        <v>13</v>
      </c>
      <c r="B280" s="40" t="s">
        <v>211</v>
      </c>
      <c r="C280" s="40"/>
      <c r="D280" s="231"/>
      <c r="E280" s="40"/>
      <c r="F280" s="40"/>
      <c r="G280" s="264">
        <v>1407</v>
      </c>
      <c r="H280" s="350">
        <f t="shared" si="32"/>
        <v>1460.4660000000001</v>
      </c>
      <c r="I280" s="40">
        <f t="shared" si="35"/>
        <v>76</v>
      </c>
      <c r="J280" s="40" t="s">
        <v>94</v>
      </c>
      <c r="K280" s="264">
        <v>277</v>
      </c>
      <c r="L280" s="350">
        <f t="shared" si="33"/>
        <v>287.52600000000001</v>
      </c>
      <c r="M280" s="40"/>
      <c r="N280" s="40">
        <f t="shared" si="37"/>
        <v>144</v>
      </c>
      <c r="O280" s="40" t="s">
        <v>778</v>
      </c>
      <c r="P280" s="40"/>
      <c r="Q280" s="265" t="s">
        <v>32</v>
      </c>
      <c r="R280" s="350"/>
      <c r="S280" s="40" t="s">
        <v>779</v>
      </c>
      <c r="T280" s="40"/>
      <c r="U280" s="220"/>
      <c r="V280" s="220"/>
      <c r="W280" s="40"/>
    </row>
    <row r="281" spans="1:23" ht="18" customHeight="1" thickBot="1">
      <c r="A281" s="40">
        <f t="shared" si="36"/>
        <v>14</v>
      </c>
      <c r="B281" s="225" t="s">
        <v>51</v>
      </c>
      <c r="C281" s="40"/>
      <c r="D281" s="231"/>
      <c r="E281" s="220"/>
      <c r="F281" s="40"/>
      <c r="G281" s="264">
        <v>1499</v>
      </c>
      <c r="H281" s="350">
        <f t="shared" si="32"/>
        <v>1555.962</v>
      </c>
      <c r="I281" s="40">
        <f t="shared" si="35"/>
        <v>77</v>
      </c>
      <c r="J281" s="40" t="s">
        <v>96</v>
      </c>
      <c r="K281" s="264">
        <v>8255</v>
      </c>
      <c r="L281" s="350">
        <f t="shared" si="33"/>
        <v>8568.69</v>
      </c>
      <c r="M281" s="40"/>
      <c r="N281" s="40">
        <v>145</v>
      </c>
      <c r="O281" s="40" t="s">
        <v>780</v>
      </c>
      <c r="P281" s="40"/>
      <c r="Q281" s="265" t="s">
        <v>32</v>
      </c>
      <c r="R281" s="350"/>
      <c r="S281" s="40"/>
      <c r="T281" s="40"/>
      <c r="U281" s="220"/>
      <c r="V281" s="220"/>
      <c r="W281" s="40"/>
    </row>
    <row r="282" spans="1:23" ht="18" customHeight="1" thickBot="1">
      <c r="A282" s="40">
        <f t="shared" si="36"/>
        <v>15</v>
      </c>
      <c r="B282" s="225" t="s">
        <v>53</v>
      </c>
      <c r="C282" s="40"/>
      <c r="D282" s="231"/>
      <c r="E282" s="220"/>
      <c r="F282" s="40"/>
      <c r="G282" s="264" t="s">
        <v>192</v>
      </c>
      <c r="H282" s="350"/>
      <c r="I282" s="40">
        <v>78</v>
      </c>
      <c r="J282" s="225" t="s">
        <v>781</v>
      </c>
      <c r="K282" s="264">
        <v>8999</v>
      </c>
      <c r="L282" s="350">
        <f t="shared" si="33"/>
        <v>9340.9619999999995</v>
      </c>
      <c r="M282" s="40"/>
      <c r="N282" s="40">
        <v>146</v>
      </c>
      <c r="O282" s="40" t="s">
        <v>787</v>
      </c>
      <c r="P282" s="40"/>
      <c r="Q282" s="265" t="s">
        <v>32</v>
      </c>
      <c r="R282" s="350"/>
      <c r="S282" s="40"/>
      <c r="T282" s="40"/>
      <c r="U282" s="40"/>
      <c r="V282" s="40"/>
      <c r="W282" s="40"/>
    </row>
    <row r="283" spans="1:23" ht="18" customHeight="1" thickBot="1">
      <c r="A283" s="40">
        <f t="shared" si="36"/>
        <v>16</v>
      </c>
      <c r="B283" s="225" t="s">
        <v>55</v>
      </c>
      <c r="C283" s="40"/>
      <c r="D283" s="231"/>
      <c r="E283" s="220"/>
      <c r="F283" s="40"/>
      <c r="G283" s="264">
        <v>550</v>
      </c>
      <c r="H283" s="350">
        <f t="shared" ref="H283:H294" si="38">G283*1.038</f>
        <v>570.9</v>
      </c>
      <c r="I283" s="40">
        <f t="shared" si="35"/>
        <v>79</v>
      </c>
      <c r="J283" s="225" t="s">
        <v>783</v>
      </c>
      <c r="K283" s="264" t="s">
        <v>32</v>
      </c>
      <c r="L283" s="350"/>
      <c r="M283" s="40"/>
      <c r="N283" s="40">
        <v>147</v>
      </c>
      <c r="O283" s="40" t="s">
        <v>782</v>
      </c>
      <c r="P283" s="40"/>
      <c r="Q283" s="265">
        <v>4666</v>
      </c>
      <c r="R283" s="350">
        <f t="shared" si="34"/>
        <v>4843.308</v>
      </c>
      <c r="S283" s="40"/>
      <c r="T283" s="40"/>
      <c r="U283" s="40"/>
      <c r="V283" s="40"/>
      <c r="W283" s="40"/>
    </row>
    <row r="284" spans="1:23" ht="18" customHeight="1" thickBot="1">
      <c r="A284" s="40">
        <f t="shared" si="36"/>
        <v>17</v>
      </c>
      <c r="B284" s="225" t="s">
        <v>58</v>
      </c>
      <c r="C284" s="40"/>
      <c r="D284" s="231"/>
      <c r="E284" s="40"/>
      <c r="F284" s="40"/>
      <c r="G284" s="264">
        <v>-503</v>
      </c>
      <c r="H284" s="350">
        <f t="shared" si="38"/>
        <v>-522.11400000000003</v>
      </c>
      <c r="I284" s="40">
        <v>80</v>
      </c>
      <c r="J284" s="225" t="s">
        <v>108</v>
      </c>
      <c r="K284" s="264">
        <v>675</v>
      </c>
      <c r="L284" s="350">
        <f t="shared" si="33"/>
        <v>700.65</v>
      </c>
      <c r="M284" s="40"/>
      <c r="N284" s="40">
        <v>148</v>
      </c>
      <c r="O284" s="40" t="s">
        <v>784</v>
      </c>
      <c r="P284" s="40"/>
      <c r="Q284" s="265">
        <v>2185</v>
      </c>
      <c r="R284" s="350">
        <f t="shared" si="34"/>
        <v>2268.0300000000002</v>
      </c>
      <c r="S284" s="40"/>
      <c r="T284" s="40"/>
      <c r="U284" s="40"/>
      <c r="V284" s="40"/>
      <c r="W284" s="40"/>
    </row>
    <row r="285" spans="1:23" ht="18" customHeight="1" thickBot="1">
      <c r="A285" s="40">
        <f t="shared" si="36"/>
        <v>18</v>
      </c>
      <c r="B285" s="225" t="s">
        <v>60</v>
      </c>
      <c r="C285" s="40"/>
      <c r="D285" s="231"/>
      <c r="E285" s="40"/>
      <c r="F285" s="40"/>
      <c r="G285" s="264">
        <v>63</v>
      </c>
      <c r="H285" s="350">
        <f t="shared" si="38"/>
        <v>65.394000000000005</v>
      </c>
      <c r="I285" s="40">
        <f t="shared" si="35"/>
        <v>81</v>
      </c>
      <c r="J285" s="225" t="s">
        <v>110</v>
      </c>
      <c r="K285" s="264">
        <v>888</v>
      </c>
      <c r="L285" s="350">
        <f t="shared" si="33"/>
        <v>921.74400000000003</v>
      </c>
      <c r="M285" s="40"/>
      <c r="N285" s="40">
        <v>149</v>
      </c>
      <c r="O285" s="40" t="s">
        <v>785</v>
      </c>
      <c r="P285" s="40"/>
      <c r="Q285" s="265">
        <v>458</v>
      </c>
      <c r="R285" s="350">
        <f t="shared" si="34"/>
        <v>475.404</v>
      </c>
      <c r="S285" s="40"/>
      <c r="T285" s="40"/>
      <c r="U285" s="40"/>
      <c r="V285" s="40"/>
      <c r="W285" s="40"/>
    </row>
    <row r="286" spans="1:23" ht="18" customHeight="1" thickBot="1">
      <c r="A286" s="40">
        <f t="shared" si="36"/>
        <v>19</v>
      </c>
      <c r="B286" s="40" t="s">
        <v>62</v>
      </c>
      <c r="C286" s="40"/>
      <c r="D286" s="231"/>
      <c r="E286" s="220"/>
      <c r="F286" s="40"/>
      <c r="G286" s="264">
        <v>82</v>
      </c>
      <c r="H286" s="350">
        <f t="shared" si="38"/>
        <v>85.116</v>
      </c>
      <c r="I286" s="40">
        <f t="shared" si="35"/>
        <v>82</v>
      </c>
      <c r="J286" s="225" t="s">
        <v>112</v>
      </c>
      <c r="K286" s="264">
        <v>1850</v>
      </c>
      <c r="L286" s="350">
        <f t="shared" si="33"/>
        <v>1920.3</v>
      </c>
      <c r="M286" s="40"/>
      <c r="N286" s="40">
        <v>150</v>
      </c>
      <c r="O286" s="40" t="s">
        <v>786</v>
      </c>
      <c r="P286" s="40"/>
      <c r="Q286" s="265" t="s">
        <v>32</v>
      </c>
      <c r="R286" s="350"/>
      <c r="S286" s="40"/>
      <c r="T286" s="40"/>
      <c r="U286" s="40"/>
      <c r="V286" s="40"/>
      <c r="W286" s="40"/>
    </row>
    <row r="287" spans="1:23" ht="18" customHeight="1" thickBot="1">
      <c r="A287" s="40">
        <f t="shared" si="36"/>
        <v>20</v>
      </c>
      <c r="B287" s="40" t="s">
        <v>64</v>
      </c>
      <c r="C287" s="40"/>
      <c r="D287" s="231"/>
      <c r="E287" s="220"/>
      <c r="F287" s="40"/>
      <c r="G287" s="264">
        <v>115</v>
      </c>
      <c r="H287" s="350">
        <f t="shared" si="38"/>
        <v>119.37</v>
      </c>
      <c r="I287" s="40">
        <f t="shared" si="35"/>
        <v>83</v>
      </c>
      <c r="J287" s="40" t="s">
        <v>114</v>
      </c>
      <c r="K287" s="264">
        <v>4388</v>
      </c>
      <c r="L287" s="350">
        <f t="shared" si="33"/>
        <v>4554.7440000000006</v>
      </c>
      <c r="M287" s="40"/>
      <c r="N287" s="40">
        <v>151</v>
      </c>
      <c r="O287" s="40" t="s">
        <v>787</v>
      </c>
      <c r="P287" s="40"/>
      <c r="Q287" s="265" t="s">
        <v>32</v>
      </c>
      <c r="R287" s="350"/>
      <c r="S287" s="40"/>
      <c r="T287" s="40"/>
      <c r="U287" s="40"/>
      <c r="V287" s="40"/>
      <c r="W287" s="40"/>
    </row>
    <row r="288" spans="1:23" ht="18" customHeight="1" thickBot="1">
      <c r="A288" s="40">
        <f t="shared" si="36"/>
        <v>21</v>
      </c>
      <c r="B288" s="40" t="s">
        <v>66</v>
      </c>
      <c r="C288" s="40"/>
      <c r="D288" s="231"/>
      <c r="E288" s="220"/>
      <c r="F288" s="40"/>
      <c r="G288" s="264">
        <v>80</v>
      </c>
      <c r="H288" s="350">
        <f t="shared" si="38"/>
        <v>83.04</v>
      </c>
      <c r="I288" s="40">
        <f t="shared" si="35"/>
        <v>84</v>
      </c>
      <c r="J288" s="40" t="s">
        <v>116</v>
      </c>
      <c r="K288" s="264">
        <v>6525</v>
      </c>
      <c r="L288" s="350">
        <f t="shared" si="33"/>
        <v>6772.95</v>
      </c>
      <c r="M288" s="40"/>
      <c r="N288" s="40">
        <v>152</v>
      </c>
      <c r="O288" s="40" t="s">
        <v>805</v>
      </c>
      <c r="P288" s="40"/>
      <c r="Q288" s="263">
        <v>972</v>
      </c>
      <c r="R288" s="350">
        <f t="shared" si="34"/>
        <v>1008.936</v>
      </c>
      <c r="S288" s="40"/>
      <c r="T288" s="40"/>
      <c r="U288" s="40"/>
      <c r="V288" s="40"/>
      <c r="W288" s="40"/>
    </row>
    <row r="289" spans="1:23" ht="18" customHeight="1" thickBot="1">
      <c r="A289" s="40">
        <f t="shared" si="36"/>
        <v>22</v>
      </c>
      <c r="B289" s="40" t="s">
        <v>68</v>
      </c>
      <c r="C289" s="40"/>
      <c r="D289" s="231"/>
      <c r="E289" s="220"/>
      <c r="F289" s="40"/>
      <c r="G289" s="264">
        <v>150</v>
      </c>
      <c r="H289" s="350">
        <f t="shared" si="38"/>
        <v>155.70000000000002</v>
      </c>
      <c r="I289" s="40">
        <f t="shared" si="35"/>
        <v>85</v>
      </c>
      <c r="J289" s="40" t="s">
        <v>118</v>
      </c>
      <c r="K289" s="264">
        <v>8921</v>
      </c>
      <c r="L289" s="350">
        <f t="shared" si="33"/>
        <v>9259.9979999999996</v>
      </c>
      <c r="M289" s="40"/>
      <c r="N289" s="40"/>
      <c r="O289" s="40"/>
      <c r="P289" s="40"/>
      <c r="Q289" s="263"/>
      <c r="R289" s="40"/>
      <c r="S289" s="40"/>
      <c r="T289" s="40"/>
      <c r="U289" s="40"/>
      <c r="V289" s="40"/>
      <c r="W289" s="40"/>
    </row>
    <row r="290" spans="1:23" ht="18" customHeight="1" thickBot="1">
      <c r="A290" s="40">
        <f t="shared" si="36"/>
        <v>23</v>
      </c>
      <c r="B290" s="40" t="s">
        <v>70</v>
      </c>
      <c r="C290" s="40"/>
      <c r="D290" s="231"/>
      <c r="E290" s="220"/>
      <c r="F290" s="40"/>
      <c r="G290" s="264">
        <v>48</v>
      </c>
      <c r="H290" s="350">
        <f t="shared" si="38"/>
        <v>49.823999999999998</v>
      </c>
      <c r="I290" s="40">
        <f t="shared" si="35"/>
        <v>86</v>
      </c>
      <c r="J290" s="40" t="s">
        <v>120</v>
      </c>
      <c r="K290" s="264">
        <v>3304</v>
      </c>
      <c r="L290" s="350">
        <f t="shared" si="33"/>
        <v>3429.5520000000001</v>
      </c>
      <c r="M290" s="40"/>
      <c r="N290" s="40"/>
      <c r="O290" s="40"/>
      <c r="P290" s="40"/>
      <c r="Q290" s="263"/>
      <c r="R290" s="40"/>
      <c r="S290" s="40"/>
      <c r="T290" s="40"/>
      <c r="U290" s="40"/>
      <c r="V290" s="40"/>
      <c r="W290" s="40"/>
    </row>
    <row r="291" spans="1:23" ht="18" customHeight="1" thickBot="1">
      <c r="A291" s="40">
        <f t="shared" si="36"/>
        <v>24</v>
      </c>
      <c r="B291" s="40" t="s">
        <v>72</v>
      </c>
      <c r="C291" s="40"/>
      <c r="D291" s="231"/>
      <c r="E291" s="220"/>
      <c r="F291" s="40"/>
      <c r="G291" s="264">
        <v>48</v>
      </c>
      <c r="H291" s="350">
        <f t="shared" si="38"/>
        <v>49.823999999999998</v>
      </c>
      <c r="I291" s="40">
        <f t="shared" si="35"/>
        <v>87</v>
      </c>
      <c r="J291" s="40" t="s">
        <v>122</v>
      </c>
      <c r="K291" s="264">
        <v>3781</v>
      </c>
      <c r="L291" s="350">
        <f t="shared" si="33"/>
        <v>3924.6780000000003</v>
      </c>
      <c r="M291" s="40"/>
      <c r="N291" s="40"/>
      <c r="O291" s="40"/>
      <c r="P291" s="40"/>
      <c r="Q291" s="263"/>
      <c r="R291" s="40"/>
      <c r="S291" s="40"/>
      <c r="T291" s="40"/>
      <c r="U291" s="40"/>
      <c r="V291" s="40"/>
      <c r="W291" s="40"/>
    </row>
    <row r="292" spans="1:23" ht="18" customHeight="1" thickBot="1">
      <c r="A292" s="40">
        <f t="shared" si="36"/>
        <v>25</v>
      </c>
      <c r="B292" s="40" t="s">
        <v>74</v>
      </c>
      <c r="C292" s="40"/>
      <c r="D292" s="231"/>
      <c r="E292" s="220"/>
      <c r="F292" s="40"/>
      <c r="G292" s="264">
        <v>80</v>
      </c>
      <c r="H292" s="350">
        <f t="shared" si="38"/>
        <v>83.04</v>
      </c>
      <c r="I292" s="40">
        <f t="shared" si="35"/>
        <v>88</v>
      </c>
      <c r="J292" s="40" t="s">
        <v>124</v>
      </c>
      <c r="K292" s="264">
        <v>4965</v>
      </c>
      <c r="L292" s="350">
        <f t="shared" si="33"/>
        <v>5153.67</v>
      </c>
      <c r="M292" s="40"/>
      <c r="N292" s="40"/>
      <c r="O292" s="40"/>
      <c r="P292" s="40"/>
      <c r="Q292" s="263"/>
      <c r="R292" s="40"/>
      <c r="S292" s="40"/>
      <c r="T292" s="40"/>
      <c r="U292" s="40"/>
      <c r="V292" s="40"/>
      <c r="W292" s="40"/>
    </row>
    <row r="293" spans="1:23" ht="18" customHeight="1" thickBot="1">
      <c r="A293" s="40">
        <f t="shared" si="36"/>
        <v>26</v>
      </c>
      <c r="B293" s="40" t="s">
        <v>76</v>
      </c>
      <c r="C293" s="40"/>
      <c r="D293" s="231"/>
      <c r="E293" s="220"/>
      <c r="F293" s="40"/>
      <c r="G293" s="264">
        <v>1450</v>
      </c>
      <c r="H293" s="350">
        <f t="shared" si="38"/>
        <v>1505.1000000000001</v>
      </c>
      <c r="I293" s="40">
        <f t="shared" si="35"/>
        <v>89</v>
      </c>
      <c r="J293" s="40" t="s">
        <v>126</v>
      </c>
      <c r="K293" s="264">
        <v>5880</v>
      </c>
      <c r="L293" s="350">
        <f t="shared" si="33"/>
        <v>6103.4400000000005</v>
      </c>
      <c r="M293" s="40"/>
      <c r="N293" s="40"/>
      <c r="O293" s="40"/>
      <c r="P293" s="40"/>
      <c r="Q293" s="263"/>
      <c r="R293" s="40"/>
      <c r="S293" s="40"/>
      <c r="T293" s="40"/>
      <c r="U293" s="40"/>
      <c r="V293" s="40"/>
      <c r="W293" s="40"/>
    </row>
    <row r="294" spans="1:23" ht="18" customHeight="1" thickBot="1">
      <c r="A294" s="40">
        <f t="shared" si="36"/>
        <v>27</v>
      </c>
      <c r="B294" s="225" t="s">
        <v>79</v>
      </c>
      <c r="C294" s="40"/>
      <c r="D294" s="231"/>
      <c r="E294" s="220"/>
      <c r="F294" s="40"/>
      <c r="G294" s="264">
        <v>500</v>
      </c>
      <c r="H294" s="350">
        <f t="shared" si="38"/>
        <v>519</v>
      </c>
      <c r="I294" s="40">
        <f t="shared" si="35"/>
        <v>90</v>
      </c>
      <c r="J294" s="40" t="s">
        <v>128</v>
      </c>
      <c r="K294" s="264">
        <v>6307</v>
      </c>
      <c r="L294" s="350">
        <f t="shared" si="33"/>
        <v>6546.6660000000002</v>
      </c>
      <c r="M294" s="40"/>
      <c r="N294" s="40"/>
      <c r="O294" s="40"/>
      <c r="P294" s="40"/>
      <c r="Q294" s="263"/>
      <c r="R294" s="40"/>
      <c r="S294" s="40"/>
      <c r="T294" s="40"/>
      <c r="U294" s="40"/>
      <c r="V294" s="40"/>
      <c r="W294" s="40"/>
    </row>
    <row r="295" spans="1:23" ht="18" customHeight="1" thickBot="1">
      <c r="A295" s="40">
        <f t="shared" si="36"/>
        <v>28</v>
      </c>
      <c r="B295" s="225" t="s">
        <v>789</v>
      </c>
      <c r="C295" s="40"/>
      <c r="D295" s="231"/>
      <c r="E295" s="40"/>
      <c r="F295" s="40"/>
      <c r="G295" s="264" t="s">
        <v>32</v>
      </c>
      <c r="H295" s="350"/>
      <c r="I295" s="40">
        <f t="shared" si="35"/>
        <v>91</v>
      </c>
      <c r="J295" s="225" t="s">
        <v>130</v>
      </c>
      <c r="K295" s="264">
        <v>5791</v>
      </c>
      <c r="L295" s="350">
        <f t="shared" si="33"/>
        <v>6011.058</v>
      </c>
      <c r="M295" s="40"/>
      <c r="N295" s="40"/>
      <c r="O295" s="40"/>
      <c r="P295" s="40"/>
      <c r="Q295" s="263"/>
      <c r="R295" s="40"/>
      <c r="S295" s="40"/>
      <c r="T295" s="40"/>
      <c r="U295" s="40"/>
      <c r="V295" s="40"/>
      <c r="W295" s="40"/>
    </row>
    <row r="296" spans="1:23" ht="18" customHeight="1" thickBot="1">
      <c r="A296" s="40">
        <f t="shared" si="36"/>
        <v>29</v>
      </c>
      <c r="B296" s="225" t="s">
        <v>705</v>
      </c>
      <c r="C296" s="40"/>
      <c r="D296" s="231"/>
      <c r="E296" s="40"/>
      <c r="F296" s="40"/>
      <c r="G296" s="264">
        <v>225</v>
      </c>
      <c r="H296" s="350">
        <f t="shared" ref="H296:H318" si="39">G296*1.038</f>
        <v>233.55</v>
      </c>
      <c r="I296" s="40">
        <f t="shared" si="35"/>
        <v>92</v>
      </c>
      <c r="J296" s="225" t="s">
        <v>132</v>
      </c>
      <c r="K296" s="264">
        <v>5399</v>
      </c>
      <c r="L296" s="350">
        <f t="shared" si="33"/>
        <v>5604.1620000000003</v>
      </c>
      <c r="M296" s="40"/>
      <c r="N296" s="40"/>
      <c r="O296" s="40"/>
      <c r="P296" s="40"/>
      <c r="Q296" s="263"/>
      <c r="R296" s="40"/>
      <c r="S296" s="40"/>
      <c r="T296" s="40"/>
      <c r="U296" s="40"/>
      <c r="V296" s="40"/>
      <c r="W296" s="40"/>
    </row>
    <row r="297" spans="1:23" ht="18" customHeight="1" thickBot="1">
      <c r="A297" s="40">
        <f t="shared" si="36"/>
        <v>30</v>
      </c>
      <c r="B297" s="225" t="s">
        <v>85</v>
      </c>
      <c r="C297" s="40"/>
      <c r="D297" s="231"/>
      <c r="E297" s="40"/>
      <c r="F297" s="40"/>
      <c r="G297" s="264">
        <v>790</v>
      </c>
      <c r="H297" s="350">
        <f t="shared" si="39"/>
        <v>820.02</v>
      </c>
      <c r="I297" s="40">
        <f t="shared" si="35"/>
        <v>93</v>
      </c>
      <c r="J297" s="225" t="s">
        <v>134</v>
      </c>
      <c r="K297" s="264">
        <v>2452</v>
      </c>
      <c r="L297" s="350">
        <f t="shared" si="33"/>
        <v>2545.1759999999999</v>
      </c>
      <c r="M297" s="40"/>
      <c r="N297" s="40"/>
      <c r="O297" s="40"/>
      <c r="P297" s="40"/>
      <c r="Q297" s="263"/>
      <c r="R297" s="40"/>
      <c r="S297" s="40"/>
      <c r="T297" s="40"/>
      <c r="U297" s="40"/>
      <c r="V297" s="40"/>
      <c r="W297" s="40"/>
    </row>
    <row r="298" spans="1:23" ht="18" customHeight="1" thickBot="1">
      <c r="A298" s="40">
        <f t="shared" si="36"/>
        <v>31</v>
      </c>
      <c r="B298" s="225" t="s">
        <v>87</v>
      </c>
      <c r="C298" s="40"/>
      <c r="D298" s="231"/>
      <c r="E298" s="40"/>
      <c r="F298" s="40"/>
      <c r="G298" s="264">
        <v>805</v>
      </c>
      <c r="H298" s="350">
        <f t="shared" si="39"/>
        <v>835.59</v>
      </c>
      <c r="I298" s="40">
        <v>95</v>
      </c>
      <c r="J298" s="40" t="s">
        <v>138</v>
      </c>
      <c r="K298" s="264">
        <v>5461</v>
      </c>
      <c r="L298" s="350">
        <f t="shared" si="33"/>
        <v>5668.518</v>
      </c>
      <c r="M298" s="40"/>
      <c r="N298" s="40"/>
      <c r="O298" s="40"/>
      <c r="P298" s="40"/>
      <c r="Q298" s="263"/>
      <c r="R298" s="40"/>
      <c r="S298" s="40"/>
      <c r="T298" s="40"/>
      <c r="U298" s="40"/>
      <c r="V298" s="40"/>
      <c r="W298" s="40"/>
    </row>
    <row r="299" spans="1:23" ht="18" customHeight="1" thickBot="1">
      <c r="A299" s="40">
        <f t="shared" si="36"/>
        <v>32</v>
      </c>
      <c r="B299" s="225" t="s">
        <v>89</v>
      </c>
      <c r="C299" s="40"/>
      <c r="D299" s="231"/>
      <c r="E299" s="40"/>
      <c r="F299" s="40"/>
      <c r="G299" s="264">
        <v>875</v>
      </c>
      <c r="H299" s="350">
        <f t="shared" si="39"/>
        <v>908.25</v>
      </c>
      <c r="I299" s="40">
        <f t="shared" si="35"/>
        <v>96</v>
      </c>
      <c r="J299" s="40" t="s">
        <v>140</v>
      </c>
      <c r="K299" s="264">
        <v>2256</v>
      </c>
      <c r="L299" s="350">
        <f t="shared" si="33"/>
        <v>2341.7280000000001</v>
      </c>
      <c r="M299" s="40"/>
      <c r="N299" s="40"/>
      <c r="O299" s="40"/>
      <c r="P299" s="40"/>
      <c r="Q299" s="263"/>
      <c r="R299" s="40"/>
      <c r="S299" s="40"/>
      <c r="T299" s="40"/>
      <c r="U299" s="40"/>
      <c r="V299" s="40"/>
      <c r="W299" s="40"/>
    </row>
    <row r="300" spans="1:23" ht="18" customHeight="1" thickBot="1">
      <c r="A300" s="40">
        <f t="shared" si="36"/>
        <v>33</v>
      </c>
      <c r="B300" s="40" t="s">
        <v>91</v>
      </c>
      <c r="C300" s="40"/>
      <c r="D300" s="231"/>
      <c r="E300" s="40"/>
      <c r="F300" s="40"/>
      <c r="G300" s="264">
        <v>-85</v>
      </c>
      <c r="H300" s="350">
        <f t="shared" si="39"/>
        <v>-88.23</v>
      </c>
      <c r="I300" s="40">
        <f t="shared" si="35"/>
        <v>97</v>
      </c>
      <c r="J300" s="40" t="s">
        <v>142</v>
      </c>
      <c r="K300" s="264">
        <v>8642</v>
      </c>
      <c r="L300" s="350">
        <f t="shared" si="33"/>
        <v>8970.3960000000006</v>
      </c>
      <c r="M300" s="40"/>
      <c r="N300" s="40"/>
      <c r="O300" s="40"/>
      <c r="P300" s="40"/>
      <c r="Q300" s="263"/>
      <c r="R300" s="40"/>
      <c r="S300" s="40"/>
      <c r="T300" s="40"/>
      <c r="U300" s="40"/>
      <c r="V300" s="40"/>
      <c r="W300" s="40"/>
    </row>
    <row r="301" spans="1:23" ht="18" customHeight="1" thickBot="1">
      <c r="A301" s="40">
        <f t="shared" si="36"/>
        <v>34</v>
      </c>
      <c r="B301" s="40" t="s">
        <v>93</v>
      </c>
      <c r="C301" s="40"/>
      <c r="D301" s="231"/>
      <c r="E301" s="40"/>
      <c r="F301" s="40"/>
      <c r="G301" s="264">
        <v>-70</v>
      </c>
      <c r="H301" s="350">
        <f t="shared" si="39"/>
        <v>-72.66</v>
      </c>
      <c r="I301" s="40">
        <f t="shared" si="35"/>
        <v>98</v>
      </c>
      <c r="J301" s="225" t="s">
        <v>144</v>
      </c>
      <c r="K301" s="264">
        <v>5988</v>
      </c>
      <c r="L301" s="350">
        <f t="shared" si="33"/>
        <v>6215.5439999999999</v>
      </c>
      <c r="M301" s="40"/>
      <c r="N301" s="40"/>
      <c r="O301" s="40"/>
      <c r="P301" s="40"/>
      <c r="Q301" s="263"/>
      <c r="R301" s="40"/>
      <c r="S301" s="40"/>
      <c r="T301" s="40"/>
      <c r="U301" s="40"/>
      <c r="V301" s="40"/>
      <c r="W301" s="40"/>
    </row>
    <row r="302" spans="1:23" ht="18" customHeight="1" thickBot="1">
      <c r="A302" s="40">
        <f t="shared" si="36"/>
        <v>35</v>
      </c>
      <c r="B302" s="40" t="s">
        <v>95</v>
      </c>
      <c r="C302" s="40"/>
      <c r="D302" s="231"/>
      <c r="E302" s="40"/>
      <c r="F302" s="40"/>
      <c r="G302" s="264">
        <v>2300</v>
      </c>
      <c r="H302" s="350">
        <f t="shared" si="39"/>
        <v>2387.4</v>
      </c>
      <c r="I302" s="40">
        <f t="shared" si="35"/>
        <v>99</v>
      </c>
      <c r="J302" s="228" t="s">
        <v>146</v>
      </c>
      <c r="K302" s="264">
        <v>8712</v>
      </c>
      <c r="L302" s="350">
        <f t="shared" si="33"/>
        <v>9043.0560000000005</v>
      </c>
      <c r="M302" s="40"/>
      <c r="N302" s="40"/>
      <c r="O302" s="40"/>
      <c r="P302" s="40"/>
      <c r="Q302" s="263"/>
      <c r="R302" s="40"/>
      <c r="S302" s="40"/>
      <c r="T302" s="40"/>
      <c r="U302" s="40"/>
      <c r="V302" s="40"/>
      <c r="W302" s="40"/>
    </row>
    <row r="303" spans="1:23" ht="18" customHeight="1" thickBot="1">
      <c r="A303" s="40">
        <f t="shared" si="36"/>
        <v>36</v>
      </c>
      <c r="B303" s="40" t="s">
        <v>97</v>
      </c>
      <c r="C303" s="40"/>
      <c r="D303" s="231"/>
      <c r="E303" s="40"/>
      <c r="F303" s="40"/>
      <c r="G303" s="264" t="s">
        <v>32</v>
      </c>
      <c r="H303" s="350" t="e">
        <f t="shared" si="39"/>
        <v>#VALUE!</v>
      </c>
      <c r="I303" s="40">
        <f>(I302+1)</f>
        <v>100</v>
      </c>
      <c r="J303" s="225" t="s">
        <v>148</v>
      </c>
      <c r="K303" s="264">
        <v>3602</v>
      </c>
      <c r="L303" s="350">
        <f t="shared" si="33"/>
        <v>3738.8760000000002</v>
      </c>
      <c r="M303" s="40"/>
      <c r="N303" s="229"/>
      <c r="O303" s="40"/>
      <c r="P303" s="40"/>
      <c r="Q303" s="263"/>
      <c r="R303" s="225"/>
      <c r="S303" s="40"/>
      <c r="T303" s="40"/>
      <c r="U303" s="40"/>
      <c r="V303" s="40"/>
      <c r="W303" s="40"/>
    </row>
    <row r="304" spans="1:23" ht="18" customHeight="1" thickBot="1">
      <c r="A304" s="40">
        <v>37</v>
      </c>
      <c r="B304" s="40" t="s">
        <v>103</v>
      </c>
      <c r="C304" s="40"/>
      <c r="D304" s="231"/>
      <c r="E304" s="40"/>
      <c r="F304" s="40"/>
      <c r="G304" s="264">
        <v>85</v>
      </c>
      <c r="H304" s="350">
        <f t="shared" si="39"/>
        <v>88.23</v>
      </c>
      <c r="I304" s="40">
        <f t="shared" si="35"/>
        <v>101</v>
      </c>
      <c r="J304" s="40" t="s">
        <v>150</v>
      </c>
      <c r="K304" s="266">
        <v>450</v>
      </c>
      <c r="L304" s="350">
        <f t="shared" si="33"/>
        <v>467.1</v>
      </c>
      <c r="M304" s="40"/>
      <c r="N304" s="229"/>
      <c r="O304" s="40"/>
      <c r="P304" s="40"/>
      <c r="Q304" s="263"/>
      <c r="R304" s="225"/>
      <c r="S304" s="40"/>
      <c r="T304" s="40"/>
      <c r="U304" s="40"/>
      <c r="V304" s="40"/>
      <c r="W304" s="40"/>
    </row>
    <row r="305" spans="1:23" ht="18" customHeight="1" thickBot="1">
      <c r="A305" s="40">
        <f t="shared" si="36"/>
        <v>38</v>
      </c>
      <c r="B305" s="40" t="s">
        <v>105</v>
      </c>
      <c r="C305" s="40"/>
      <c r="D305" s="231"/>
      <c r="E305" s="40"/>
      <c r="F305" s="40"/>
      <c r="G305" s="264">
        <v>85</v>
      </c>
      <c r="H305" s="350">
        <f t="shared" si="39"/>
        <v>88.23</v>
      </c>
      <c r="I305" s="40">
        <f t="shared" si="35"/>
        <v>102</v>
      </c>
      <c r="J305" s="40" t="s">
        <v>152</v>
      </c>
      <c r="K305" s="266">
        <v>350</v>
      </c>
      <c r="L305" s="350">
        <f t="shared" si="33"/>
        <v>363.3</v>
      </c>
      <c r="M305" s="229"/>
      <c r="N305" s="229"/>
      <c r="O305" s="40"/>
      <c r="P305" s="40"/>
      <c r="Q305" s="263"/>
      <c r="R305" s="225"/>
      <c r="S305" s="40"/>
      <c r="T305" s="40"/>
      <c r="U305" s="40"/>
      <c r="V305" s="40"/>
      <c r="W305" s="40"/>
    </row>
    <row r="306" spans="1:23" ht="18" customHeight="1" thickBot="1">
      <c r="A306" s="40">
        <f t="shared" si="36"/>
        <v>39</v>
      </c>
      <c r="B306" s="40" t="s">
        <v>107</v>
      </c>
      <c r="C306" s="40"/>
      <c r="D306" s="231"/>
      <c r="E306" s="40"/>
      <c r="F306" s="40"/>
      <c r="G306" s="264">
        <v>-525</v>
      </c>
      <c r="H306" s="350">
        <f t="shared" si="39"/>
        <v>-544.95000000000005</v>
      </c>
      <c r="I306" s="40">
        <f t="shared" si="35"/>
        <v>103</v>
      </c>
      <c r="J306" s="40" t="s">
        <v>154</v>
      </c>
      <c r="K306" s="266">
        <v>750</v>
      </c>
      <c r="L306" s="350">
        <f t="shared" si="33"/>
        <v>778.5</v>
      </c>
      <c r="M306" s="229"/>
      <c r="N306" s="40"/>
      <c r="O306" s="40"/>
      <c r="P306" s="40"/>
      <c r="Q306" s="263"/>
      <c r="R306" s="225"/>
      <c r="S306" s="40"/>
      <c r="T306" s="40"/>
      <c r="U306" s="40"/>
      <c r="V306" s="40"/>
      <c r="W306" s="40"/>
    </row>
    <row r="307" spans="1:23" ht="18" customHeight="1" thickBot="1">
      <c r="A307" s="40">
        <f t="shared" si="36"/>
        <v>40</v>
      </c>
      <c r="B307" s="40" t="s">
        <v>109</v>
      </c>
      <c r="C307" s="40"/>
      <c r="D307" s="231"/>
      <c r="E307" s="40"/>
      <c r="F307" s="40"/>
      <c r="G307" s="264">
        <v>505</v>
      </c>
      <c r="H307" s="350">
        <f t="shared" si="39"/>
        <v>524.19000000000005</v>
      </c>
      <c r="I307" s="40">
        <f t="shared" si="35"/>
        <v>104</v>
      </c>
      <c r="J307" s="40" t="s">
        <v>156</v>
      </c>
      <c r="K307" s="266">
        <v>975</v>
      </c>
      <c r="L307" s="350">
        <f t="shared" si="33"/>
        <v>1012.0500000000001</v>
      </c>
      <c r="M307" s="229"/>
      <c r="N307" s="40"/>
      <c r="O307" s="40"/>
      <c r="P307" s="40"/>
      <c r="Q307" s="263"/>
      <c r="R307" s="225"/>
      <c r="S307" s="40"/>
      <c r="T307" s="40"/>
      <c r="U307" s="40"/>
      <c r="V307" s="40"/>
      <c r="W307" s="40"/>
    </row>
    <row r="308" spans="1:23" ht="18" customHeight="1" thickBot="1">
      <c r="A308" s="40">
        <f t="shared" si="36"/>
        <v>41</v>
      </c>
      <c r="B308" s="40" t="s">
        <v>111</v>
      </c>
      <c r="C308" s="40"/>
      <c r="D308" s="231"/>
      <c r="E308" s="40"/>
      <c r="F308" s="40"/>
      <c r="G308" s="264">
        <v>1211</v>
      </c>
      <c r="H308" s="350">
        <f t="shared" si="39"/>
        <v>1257.018</v>
      </c>
      <c r="I308" s="40">
        <f>(I307+1)</f>
        <v>105</v>
      </c>
      <c r="J308" s="40" t="s">
        <v>157</v>
      </c>
      <c r="K308" s="266">
        <v>1350</v>
      </c>
      <c r="L308" s="350">
        <f t="shared" si="33"/>
        <v>1401.3</v>
      </c>
      <c r="M308" s="220"/>
      <c r="N308" s="40"/>
      <c r="O308" s="40"/>
      <c r="P308" s="40"/>
      <c r="Q308" s="263"/>
      <c r="R308" s="225"/>
      <c r="S308" s="40"/>
      <c r="T308" s="40"/>
      <c r="U308" s="40"/>
      <c r="V308" s="40"/>
      <c r="W308" s="40"/>
    </row>
    <row r="309" spans="1:23" ht="18" customHeight="1" thickBot="1">
      <c r="A309" s="40">
        <f t="shared" si="36"/>
        <v>42</v>
      </c>
      <c r="B309" s="225" t="s">
        <v>113</v>
      </c>
      <c r="C309" s="40"/>
      <c r="D309" s="231"/>
      <c r="E309" s="40"/>
      <c r="F309" s="40"/>
      <c r="G309" s="267">
        <v>175</v>
      </c>
      <c r="H309" s="350">
        <f t="shared" si="39"/>
        <v>181.65</v>
      </c>
      <c r="I309" s="40">
        <f t="shared" si="35"/>
        <v>106</v>
      </c>
      <c r="J309" s="40" t="s">
        <v>158</v>
      </c>
      <c r="K309" s="264">
        <v>1639</v>
      </c>
      <c r="L309" s="350">
        <f t="shared" si="33"/>
        <v>1701.2820000000002</v>
      </c>
      <c r="M309" s="40"/>
      <c r="N309" s="40"/>
      <c r="O309" s="40"/>
      <c r="P309" s="40"/>
      <c r="Q309" s="263"/>
      <c r="R309" s="225"/>
      <c r="S309" s="40"/>
      <c r="T309" s="40"/>
      <c r="U309" s="40"/>
      <c r="V309" s="40"/>
      <c r="W309" s="40"/>
    </row>
    <row r="310" spans="1:23" ht="18" customHeight="1" thickBot="1">
      <c r="A310" s="40">
        <f t="shared" si="36"/>
        <v>43</v>
      </c>
      <c r="B310" s="225" t="s">
        <v>115</v>
      </c>
      <c r="C310" s="40"/>
      <c r="D310" s="231"/>
      <c r="E310" s="40"/>
      <c r="F310" s="40"/>
      <c r="G310" s="264" t="s">
        <v>32</v>
      </c>
      <c r="H310" s="350" t="e">
        <f t="shared" si="39"/>
        <v>#VALUE!</v>
      </c>
      <c r="I310" s="40">
        <f t="shared" si="35"/>
        <v>107</v>
      </c>
      <c r="J310" s="40" t="s">
        <v>160</v>
      </c>
      <c r="K310" s="264">
        <v>1784</v>
      </c>
      <c r="L310" s="350">
        <f t="shared" si="33"/>
        <v>1851.7920000000001</v>
      </c>
      <c r="M310" s="40"/>
      <c r="N310" s="40"/>
      <c r="O310" s="40"/>
      <c r="P310" s="40"/>
      <c r="Q310" s="263"/>
      <c r="R310" s="225"/>
      <c r="S310" s="40"/>
      <c r="T310" s="40"/>
      <c r="U310" s="40"/>
      <c r="V310" s="40"/>
      <c r="W310" s="40"/>
    </row>
    <row r="311" spans="1:23" ht="18" customHeight="1" thickBot="1">
      <c r="A311" s="40">
        <f t="shared" si="36"/>
        <v>44</v>
      </c>
      <c r="B311" s="225" t="s">
        <v>220</v>
      </c>
      <c r="C311" s="40"/>
      <c r="D311" s="231"/>
      <c r="E311" s="40"/>
      <c r="F311" s="40"/>
      <c r="G311" s="264" t="s">
        <v>32</v>
      </c>
      <c r="H311" s="350" t="e">
        <f t="shared" si="39"/>
        <v>#VALUE!</v>
      </c>
      <c r="I311" s="40">
        <f t="shared" si="35"/>
        <v>108</v>
      </c>
      <c r="J311" s="40" t="s">
        <v>161</v>
      </c>
      <c r="K311" s="264">
        <v>1921</v>
      </c>
      <c r="L311" s="350">
        <f t="shared" si="33"/>
        <v>1993.998</v>
      </c>
      <c r="M311" s="40"/>
      <c r="N311" s="40"/>
      <c r="O311" s="40"/>
      <c r="P311" s="40"/>
      <c r="Q311" s="263"/>
      <c r="R311" s="225"/>
      <c r="S311" s="40"/>
      <c r="T311" s="40"/>
      <c r="U311" s="40"/>
      <c r="V311" s="40"/>
      <c r="W311" s="40"/>
    </row>
    <row r="312" spans="1:23" ht="18" customHeight="1" thickBot="1">
      <c r="A312">
        <f t="shared" si="36"/>
        <v>45</v>
      </c>
      <c r="B312" t="s">
        <v>119</v>
      </c>
      <c r="D312" s="38"/>
      <c r="G312" s="216">
        <v>313</v>
      </c>
      <c r="H312" s="350">
        <f t="shared" si="39"/>
        <v>324.89400000000001</v>
      </c>
      <c r="I312">
        <f t="shared" si="35"/>
        <v>109</v>
      </c>
      <c r="J312" t="s">
        <v>162</v>
      </c>
      <c r="K312" s="216">
        <v>2147</v>
      </c>
      <c r="L312" s="350">
        <f t="shared" si="33"/>
        <v>2228.5860000000002</v>
      </c>
      <c r="Q312" s="215"/>
      <c r="R312" s="4"/>
    </row>
    <row r="313" spans="1:23" ht="18" customHeight="1" thickBot="1">
      <c r="A313">
        <f t="shared" si="36"/>
        <v>46</v>
      </c>
      <c r="B313" t="s">
        <v>121</v>
      </c>
      <c r="D313" s="38"/>
      <c r="G313" s="216">
        <v>15</v>
      </c>
      <c r="H313" s="350">
        <f t="shared" si="39"/>
        <v>15.57</v>
      </c>
      <c r="I313">
        <v>127</v>
      </c>
      <c r="J313" t="s">
        <v>164</v>
      </c>
      <c r="K313" s="217" t="s">
        <v>32</v>
      </c>
      <c r="L313" s="350"/>
      <c r="Q313" s="215"/>
      <c r="R313" s="4"/>
    </row>
    <row r="314" spans="1:23" ht="18" customHeight="1" thickBot="1">
      <c r="A314">
        <f t="shared" si="36"/>
        <v>47</v>
      </c>
      <c r="B314" t="s">
        <v>123</v>
      </c>
      <c r="D314" s="38"/>
      <c r="G314" s="216">
        <v>255</v>
      </c>
      <c r="H314" s="350">
        <f t="shared" si="39"/>
        <v>264.69</v>
      </c>
      <c r="I314">
        <v>128</v>
      </c>
      <c r="J314" t="s">
        <v>222</v>
      </c>
      <c r="K314" s="216">
        <v>200</v>
      </c>
      <c r="L314" s="350">
        <f t="shared" si="33"/>
        <v>207.6</v>
      </c>
      <c r="Q314" s="215"/>
      <c r="R314" s="4"/>
    </row>
    <row r="315" spans="1:23" ht="18" customHeight="1" thickBot="1">
      <c r="A315">
        <f t="shared" si="36"/>
        <v>48</v>
      </c>
      <c r="B315" t="s">
        <v>125</v>
      </c>
      <c r="D315" s="38"/>
      <c r="G315" s="216">
        <v>521</v>
      </c>
      <c r="H315" s="350">
        <f t="shared" si="39"/>
        <v>540.798</v>
      </c>
      <c r="I315">
        <v>129</v>
      </c>
      <c r="J315" t="s">
        <v>166</v>
      </c>
      <c r="K315" s="216">
        <v>950</v>
      </c>
      <c r="L315" s="350">
        <f t="shared" si="33"/>
        <v>986.1</v>
      </c>
      <c r="Q315" s="215"/>
      <c r="R315" s="4"/>
    </row>
    <row r="316" spans="1:23" ht="18" customHeight="1" thickBot="1">
      <c r="A316">
        <f t="shared" si="36"/>
        <v>49</v>
      </c>
      <c r="B316" t="s">
        <v>127</v>
      </c>
      <c r="D316" s="38"/>
      <c r="G316" s="216">
        <v>677</v>
      </c>
      <c r="H316" s="350">
        <f t="shared" si="39"/>
        <v>702.726</v>
      </c>
      <c r="I316">
        <v>130</v>
      </c>
      <c r="J316" t="s">
        <v>167</v>
      </c>
      <c r="K316" s="216">
        <v>2680</v>
      </c>
      <c r="L316" s="350">
        <f t="shared" si="33"/>
        <v>2781.84</v>
      </c>
      <c r="Q316" s="215"/>
      <c r="R316" s="4"/>
    </row>
    <row r="317" spans="1:23" ht="18" customHeight="1" thickBot="1">
      <c r="A317">
        <v>52</v>
      </c>
      <c r="B317" t="s">
        <v>790</v>
      </c>
      <c r="C317" s="1"/>
      <c r="D317" s="38"/>
      <c r="G317" s="216" t="s">
        <v>32</v>
      </c>
      <c r="H317" s="350" t="e">
        <f t="shared" si="39"/>
        <v>#VALUE!</v>
      </c>
      <c r="I317">
        <v>131</v>
      </c>
      <c r="J317" t="s">
        <v>168</v>
      </c>
      <c r="K317" s="216">
        <v>75</v>
      </c>
      <c r="L317" s="350">
        <f t="shared" si="33"/>
        <v>77.850000000000009</v>
      </c>
      <c r="Q317" s="215"/>
      <c r="R317" s="4"/>
    </row>
    <row r="318" spans="1:23" ht="18" customHeight="1" thickBot="1">
      <c r="A318">
        <f t="shared" ref="A318" si="40">A317+1</f>
        <v>53</v>
      </c>
      <c r="B318" t="s">
        <v>106</v>
      </c>
      <c r="D318" s="38"/>
      <c r="G318" s="216">
        <v>7946</v>
      </c>
      <c r="H318" s="350">
        <f t="shared" si="39"/>
        <v>8247.9480000000003</v>
      </c>
      <c r="K318" s="214"/>
      <c r="Q318" s="215"/>
    </row>
    <row r="319" spans="1:23" ht="18" customHeight="1"/>
    <row r="320" spans="1:23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</sheetData>
  <sheetProtection algorithmName="SHA-512" hashValue="iwdC2nP72OUhCOsfazsir3ekCAZAqD3cK1MwihUvpMCpy/Lmd5tTb/UWGeghZ3pfds66AGPPlBfxY7mp2bJ85A==" saltValue="BXsaJvA7tvP1hiyp/QdYmw==" spinCount="100000" sheet="1" objects="1" scenarios="1"/>
  <mergeCells count="5">
    <mergeCell ref="C3:G3"/>
    <mergeCell ref="E7:F7"/>
    <mergeCell ref="B69:E69"/>
    <mergeCell ref="D73:E73"/>
    <mergeCell ref="D75:E7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2289" r:id="rId4">
          <objectPr defaultSize="0" r:id="rId5">
            <anchor moveWithCells="1">
              <from>
                <xdr:col>7</xdr:col>
                <xdr:colOff>0</xdr:colOff>
                <xdr:row>2</xdr:row>
                <xdr:rowOff>0</xdr:rowOff>
              </from>
              <to>
                <xdr:col>7</xdr:col>
                <xdr:colOff>914400</xdr:colOff>
                <xdr:row>5</xdr:row>
                <xdr:rowOff>0</xdr:rowOff>
              </to>
            </anchor>
          </objectPr>
        </oleObject>
      </mc:Choice>
      <mc:Fallback>
        <oleObject progId="Acrobat Document" dvAspect="DVASPECT_ICON" shapeId="12289" r:id="rId4"/>
      </mc:Fallback>
    </mc:AlternateContent>
    <mc:AlternateContent xmlns:mc="http://schemas.openxmlformats.org/markup-compatibility/2006">
      <mc:Choice Requires="x14">
        <oleObject progId="Acrobat Document" dvAspect="DVASPECT_ICON" shapeId="12291" r:id="rId6">
          <objectPr defaultSize="0" r:id="rId5">
            <anchor moveWithCells="1">
              <from>
                <xdr:col>7</xdr:col>
                <xdr:colOff>0</xdr:colOff>
                <xdr:row>132</xdr:row>
                <xdr:rowOff>0</xdr:rowOff>
              </from>
              <to>
                <xdr:col>7</xdr:col>
                <xdr:colOff>914400</xdr:colOff>
                <xdr:row>135</xdr:row>
                <xdr:rowOff>0</xdr:rowOff>
              </to>
            </anchor>
          </objectPr>
        </oleObject>
      </mc:Choice>
      <mc:Fallback>
        <oleObject progId="Acrobat Document" dvAspect="DVASPECT_ICON" shapeId="12291" r:id="rId6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BE9A6-D359-44C9-BDB5-44FBFAEA6A30}">
  <dimension ref="B3:T73"/>
  <sheetViews>
    <sheetView workbookViewId="0">
      <selection activeCell="G8" sqref="G8"/>
    </sheetView>
  </sheetViews>
  <sheetFormatPr defaultRowHeight="14.4"/>
  <sheetData>
    <row r="3" spans="2:20">
      <c r="B3" s="1"/>
      <c r="I3" s="281"/>
      <c r="J3" s="282"/>
      <c r="K3" s="283"/>
      <c r="L3" s="282"/>
    </row>
    <row r="4" spans="2:20">
      <c r="I4" s="282"/>
      <c r="J4" s="282"/>
      <c r="K4" s="283"/>
      <c r="L4" s="282"/>
    </row>
    <row r="5" spans="2:20">
      <c r="B5" s="284"/>
      <c r="I5" s="282"/>
      <c r="J5" s="282"/>
      <c r="K5" s="282"/>
      <c r="L5" s="282"/>
    </row>
    <row r="6" spans="2:20">
      <c r="D6" s="284"/>
      <c r="E6" s="284"/>
      <c r="F6" s="284"/>
      <c r="G6" s="284"/>
      <c r="I6" s="281"/>
      <c r="J6" s="283"/>
      <c r="K6" s="282"/>
      <c r="L6" s="282"/>
    </row>
    <row r="7" spans="2:20">
      <c r="B7" s="7"/>
      <c r="C7" s="7"/>
      <c r="I7" s="282"/>
      <c r="J7" s="282"/>
      <c r="K7" s="282"/>
      <c r="L7" s="282"/>
    </row>
    <row r="8" spans="2:20">
      <c r="I8" s="282"/>
      <c r="J8" s="282"/>
      <c r="K8" s="282"/>
      <c r="L8" s="282"/>
    </row>
    <row r="9" spans="2:20">
      <c r="I9" s="282"/>
      <c r="J9" s="282"/>
      <c r="K9" s="282"/>
      <c r="L9" s="282"/>
    </row>
    <row r="10" spans="2:20" ht="15.6">
      <c r="I10" s="282"/>
      <c r="J10" s="282"/>
      <c r="K10" s="282"/>
      <c r="L10" s="285"/>
    </row>
    <row r="11" spans="2:20">
      <c r="I11" s="282"/>
      <c r="J11" s="282"/>
      <c r="K11" s="282"/>
      <c r="L11" s="286"/>
    </row>
    <row r="12" spans="2:20">
      <c r="B12" s="292"/>
      <c r="C12" s="292"/>
      <c r="D12" s="292"/>
      <c r="E12" s="292"/>
      <c r="F12" s="292"/>
      <c r="G12" s="292"/>
      <c r="H12" s="292"/>
      <c r="I12" s="293"/>
      <c r="J12" s="293"/>
      <c r="K12" s="293"/>
      <c r="L12" s="293"/>
      <c r="M12" s="292"/>
      <c r="N12" s="292"/>
      <c r="O12" s="292"/>
      <c r="P12" s="292"/>
      <c r="Q12" s="292"/>
      <c r="R12" s="292"/>
      <c r="S12" s="292"/>
      <c r="T12" s="292"/>
    </row>
    <row r="13" spans="2:20">
      <c r="B13" s="291"/>
      <c r="C13" s="292"/>
      <c r="D13" s="292"/>
      <c r="E13" s="292"/>
      <c r="F13" s="292"/>
      <c r="G13" s="292"/>
      <c r="H13" s="292"/>
      <c r="I13" s="293"/>
      <c r="J13" s="294"/>
      <c r="K13" s="303"/>
      <c r="L13" s="291"/>
      <c r="M13" s="292"/>
      <c r="N13" s="292"/>
      <c r="O13" s="292"/>
      <c r="P13" s="292"/>
      <c r="Q13" s="292"/>
      <c r="R13" s="292"/>
      <c r="S13" s="293"/>
      <c r="T13" s="7"/>
    </row>
    <row r="14" spans="2:20">
      <c r="B14" s="295"/>
      <c r="C14" s="7"/>
      <c r="D14" s="7"/>
      <c r="E14" s="7"/>
      <c r="F14" s="7"/>
      <c r="G14" s="7"/>
      <c r="H14" s="7"/>
      <c r="I14" s="303"/>
      <c r="J14" s="296"/>
      <c r="K14" s="303"/>
      <c r="L14" s="295"/>
      <c r="M14" s="7"/>
      <c r="N14" s="7"/>
      <c r="O14" s="7"/>
      <c r="P14" s="7"/>
      <c r="Q14" s="7"/>
      <c r="R14" s="7"/>
      <c r="S14" s="303"/>
      <c r="T14" s="7"/>
    </row>
    <row r="15" spans="2:20">
      <c r="B15" s="295"/>
      <c r="C15" s="7"/>
      <c r="D15" s="7"/>
      <c r="E15" s="7"/>
      <c r="F15" s="7"/>
      <c r="G15" s="7"/>
      <c r="H15" s="7"/>
      <c r="I15" s="303"/>
      <c r="J15" s="296"/>
      <c r="K15" s="303"/>
      <c r="L15" s="295"/>
      <c r="M15" s="7"/>
      <c r="N15" s="7"/>
      <c r="O15" s="7"/>
      <c r="P15" s="7"/>
      <c r="Q15" s="7"/>
      <c r="R15" s="7"/>
      <c r="S15" s="303"/>
      <c r="T15" s="7"/>
    </row>
    <row r="16" spans="2:20">
      <c r="B16" s="295"/>
      <c r="C16" s="7"/>
      <c r="D16" s="7"/>
      <c r="E16" s="7"/>
      <c r="F16" s="7"/>
      <c r="G16" s="7"/>
      <c r="H16" s="7"/>
      <c r="I16" s="303"/>
      <c r="J16" s="296"/>
      <c r="K16" s="303"/>
      <c r="L16" s="295"/>
      <c r="M16" s="7"/>
      <c r="N16" s="7"/>
      <c r="O16" s="7"/>
      <c r="P16" s="7"/>
      <c r="Q16" s="7"/>
      <c r="R16" s="7"/>
      <c r="S16" s="303"/>
      <c r="T16" s="7"/>
    </row>
    <row r="17" spans="2:20">
      <c r="B17" s="295"/>
      <c r="C17" s="7"/>
      <c r="D17" s="7"/>
      <c r="E17" s="7"/>
      <c r="F17" s="7"/>
      <c r="G17" s="7"/>
      <c r="H17" s="7"/>
      <c r="I17" s="303"/>
      <c r="J17" s="297"/>
      <c r="K17" s="303"/>
      <c r="L17" s="295"/>
      <c r="M17" s="7"/>
      <c r="N17" s="7"/>
      <c r="O17" s="7"/>
      <c r="P17" s="7"/>
      <c r="Q17" s="7"/>
      <c r="R17" s="7"/>
      <c r="S17" s="303"/>
      <c r="T17" s="7"/>
    </row>
    <row r="18" spans="2:20">
      <c r="B18" s="295"/>
      <c r="C18" s="7"/>
      <c r="D18" s="7"/>
      <c r="E18" s="7"/>
      <c r="F18" s="7"/>
      <c r="G18" s="7"/>
      <c r="H18" s="7"/>
      <c r="I18" s="303"/>
      <c r="J18" s="296"/>
      <c r="K18" s="303"/>
      <c r="L18" s="295"/>
      <c r="M18" s="7"/>
      <c r="N18" s="7"/>
      <c r="O18" s="7"/>
      <c r="P18" s="7"/>
      <c r="Q18" s="7"/>
      <c r="R18" s="7"/>
      <c r="S18" s="303"/>
      <c r="T18" s="7"/>
    </row>
    <row r="19" spans="2:20" ht="32.4">
      <c r="B19" s="298"/>
      <c r="C19" s="304"/>
      <c r="D19" s="7"/>
      <c r="E19" s="7"/>
      <c r="F19" s="7"/>
      <c r="G19" s="7"/>
      <c r="H19" s="7"/>
      <c r="I19" s="303"/>
      <c r="J19" s="296"/>
      <c r="K19" s="303"/>
      <c r="L19" s="298"/>
      <c r="M19" s="304"/>
      <c r="N19" s="7"/>
      <c r="O19" s="7"/>
      <c r="P19" s="7"/>
      <c r="Q19" s="7"/>
      <c r="R19" s="7"/>
      <c r="S19" s="303"/>
      <c r="T19" s="7"/>
    </row>
    <row r="20" spans="2:20">
      <c r="B20" s="295"/>
      <c r="C20" s="7"/>
      <c r="D20" s="7"/>
      <c r="E20" s="7"/>
      <c r="F20" s="7"/>
      <c r="G20" s="7"/>
      <c r="H20" s="7"/>
      <c r="I20" s="303"/>
      <c r="J20" s="296"/>
      <c r="K20" s="303"/>
      <c r="L20" s="295"/>
      <c r="M20" s="41"/>
      <c r="N20" s="7"/>
      <c r="O20" s="7"/>
      <c r="P20" s="7"/>
      <c r="Q20" s="7"/>
      <c r="R20" s="7"/>
      <c r="S20" s="303"/>
      <c r="T20" s="7"/>
    </row>
    <row r="21" spans="2:20">
      <c r="B21" s="295"/>
      <c r="C21" s="7"/>
      <c r="D21" s="7"/>
      <c r="E21" s="7"/>
      <c r="F21" s="7"/>
      <c r="G21" s="7"/>
      <c r="H21" s="7"/>
      <c r="I21" s="303"/>
      <c r="J21" s="296"/>
      <c r="K21" s="303"/>
      <c r="L21" s="295"/>
      <c r="M21" s="7"/>
      <c r="N21" s="7"/>
      <c r="O21" s="7"/>
      <c r="P21" s="7"/>
      <c r="Q21" s="7"/>
      <c r="R21" s="7"/>
      <c r="S21" s="303"/>
      <c r="T21" s="7"/>
    </row>
    <row r="22" spans="2:20">
      <c r="B22" s="295"/>
      <c r="C22" s="7"/>
      <c r="D22" s="7"/>
      <c r="E22" s="7"/>
      <c r="F22" s="7"/>
      <c r="G22" s="7"/>
      <c r="H22" s="7"/>
      <c r="I22" s="303"/>
      <c r="J22" s="296"/>
      <c r="K22" s="303"/>
      <c r="L22" s="295"/>
      <c r="M22" s="7"/>
      <c r="N22" s="7"/>
      <c r="O22" s="7"/>
      <c r="P22" s="7"/>
      <c r="Q22" s="7"/>
      <c r="R22" s="7"/>
      <c r="S22" s="303"/>
      <c r="T22" s="7"/>
    </row>
    <row r="23" spans="2:20">
      <c r="B23" s="299"/>
      <c r="C23" s="300"/>
      <c r="D23" s="300"/>
      <c r="E23" s="300"/>
      <c r="F23" s="300"/>
      <c r="G23" s="300"/>
      <c r="H23" s="300"/>
      <c r="I23" s="301"/>
      <c r="J23" s="302"/>
      <c r="K23" s="303"/>
      <c r="L23" s="299"/>
      <c r="M23" s="300"/>
      <c r="N23" s="300"/>
      <c r="O23" s="300"/>
      <c r="P23" s="300"/>
      <c r="Q23" s="300"/>
      <c r="R23" s="300"/>
      <c r="S23" s="301"/>
      <c r="T23" s="7"/>
    </row>
    <row r="24" spans="2:20">
      <c r="B24" s="7"/>
      <c r="C24" s="7"/>
      <c r="D24" s="7"/>
      <c r="E24" s="7"/>
      <c r="F24" s="7"/>
      <c r="G24" s="7"/>
      <c r="H24" s="7"/>
      <c r="I24" s="303"/>
      <c r="J24" s="303"/>
      <c r="K24" s="303"/>
      <c r="L24" s="303"/>
      <c r="M24" s="7"/>
      <c r="N24" s="7"/>
      <c r="O24" s="7"/>
      <c r="P24" s="7"/>
      <c r="Q24" s="7"/>
      <c r="R24" s="7"/>
      <c r="S24" s="7"/>
      <c r="T24" s="7"/>
    </row>
    <row r="25" spans="2:20">
      <c r="B25" s="7"/>
      <c r="C25" s="7"/>
      <c r="D25" s="7"/>
      <c r="E25" s="7"/>
      <c r="F25" s="7"/>
      <c r="G25" s="7"/>
      <c r="H25" s="7"/>
      <c r="I25" s="303"/>
      <c r="J25" s="303"/>
      <c r="K25" s="303"/>
      <c r="L25" s="303"/>
      <c r="M25" s="7"/>
      <c r="N25" s="7"/>
      <c r="O25" s="7"/>
      <c r="P25" s="7"/>
      <c r="Q25" s="7"/>
      <c r="R25" s="7"/>
      <c r="S25" s="7"/>
      <c r="T25" s="7"/>
    </row>
    <row r="26" spans="2:20">
      <c r="B26" s="305"/>
      <c r="C26" s="306"/>
      <c r="D26" s="7"/>
      <c r="E26" s="7"/>
      <c r="F26" s="7"/>
      <c r="G26" s="7"/>
      <c r="H26" s="7"/>
      <c r="I26" s="303"/>
      <c r="J26" s="303"/>
      <c r="K26" s="303"/>
      <c r="L26" s="303"/>
      <c r="M26" s="7"/>
      <c r="N26" s="7"/>
      <c r="O26" s="7"/>
      <c r="P26" s="7"/>
      <c r="Q26" s="7"/>
      <c r="R26" s="7"/>
      <c r="S26" s="7"/>
      <c r="T26" s="7"/>
    </row>
    <row r="27" spans="2:20">
      <c r="B27" s="305"/>
      <c r="C27" s="306"/>
      <c r="D27" s="7"/>
      <c r="E27" s="7"/>
      <c r="F27" s="7"/>
      <c r="G27" s="7"/>
      <c r="H27" s="7"/>
      <c r="I27" s="303"/>
      <c r="J27" s="303"/>
      <c r="K27" s="303"/>
      <c r="L27" s="303"/>
      <c r="M27" s="7"/>
      <c r="N27" s="7"/>
      <c r="O27" s="7"/>
      <c r="P27" s="7"/>
      <c r="Q27" s="7"/>
      <c r="R27" s="7"/>
      <c r="S27" s="7"/>
      <c r="T27" s="7"/>
    </row>
    <row r="28" spans="2:20">
      <c r="B28" s="305"/>
      <c r="C28" s="306"/>
      <c r="D28" s="7"/>
      <c r="E28" s="7"/>
      <c r="F28" s="7"/>
      <c r="G28" s="7"/>
      <c r="H28" s="7"/>
      <c r="I28" s="303"/>
      <c r="J28" s="303"/>
      <c r="K28" s="303"/>
      <c r="L28" s="303"/>
      <c r="M28" s="7"/>
      <c r="N28" s="7"/>
      <c r="O28" s="7"/>
      <c r="P28" s="7"/>
      <c r="Q28" s="7"/>
      <c r="R28" s="7"/>
      <c r="S28" s="7"/>
      <c r="T28" s="7"/>
    </row>
    <row r="29" spans="2:20">
      <c r="B29" s="305"/>
      <c r="C29" s="306"/>
      <c r="D29" s="7"/>
      <c r="E29" s="7"/>
      <c r="F29" s="7"/>
      <c r="G29" s="7"/>
      <c r="H29" s="7"/>
      <c r="I29" s="303"/>
      <c r="J29" s="303"/>
      <c r="K29" s="303"/>
      <c r="L29" s="303"/>
      <c r="M29" s="7"/>
      <c r="N29" s="7"/>
      <c r="O29" s="7"/>
      <c r="P29" s="7"/>
      <c r="Q29" s="7"/>
      <c r="R29" s="7"/>
      <c r="S29" s="7"/>
      <c r="T29" s="7"/>
    </row>
    <row r="30" spans="2:20">
      <c r="B30" s="305"/>
      <c r="C30" s="306"/>
      <c r="D30" s="7"/>
      <c r="E30" s="7"/>
      <c r="F30" s="7"/>
      <c r="G30" s="7"/>
      <c r="H30" s="7"/>
      <c r="I30" s="303"/>
      <c r="J30" s="303"/>
      <c r="K30" s="303"/>
      <c r="L30" s="303"/>
      <c r="M30" s="7"/>
      <c r="N30" s="7"/>
      <c r="O30" s="7"/>
      <c r="P30" s="7"/>
      <c r="Q30" s="7"/>
      <c r="R30" s="7"/>
      <c r="S30" s="7"/>
      <c r="T30" s="7"/>
    </row>
    <row r="31" spans="2:20">
      <c r="B31" s="305"/>
      <c r="C31" s="306"/>
      <c r="D31" s="7"/>
      <c r="E31" s="7"/>
      <c r="F31" s="7"/>
      <c r="G31" s="7"/>
      <c r="H31" s="7"/>
      <c r="I31" s="303"/>
      <c r="J31" s="303"/>
      <c r="K31" s="303"/>
      <c r="L31" s="303"/>
      <c r="M31" s="7"/>
      <c r="N31" s="7"/>
      <c r="O31" s="7"/>
      <c r="P31" s="7"/>
      <c r="Q31" s="7"/>
      <c r="R31" s="7"/>
      <c r="S31" s="7"/>
      <c r="T31" s="7"/>
    </row>
    <row r="32" spans="2:20">
      <c r="B32" s="305"/>
      <c r="C32" s="306"/>
      <c r="D32" s="7"/>
      <c r="E32" s="7"/>
      <c r="F32" s="7"/>
      <c r="G32" s="7"/>
      <c r="H32" s="7"/>
      <c r="I32" s="303"/>
      <c r="J32" s="303"/>
      <c r="K32" s="303"/>
      <c r="L32" s="303"/>
      <c r="M32" s="7"/>
      <c r="N32" s="7"/>
      <c r="O32" s="7"/>
      <c r="P32" s="7"/>
      <c r="Q32" s="7"/>
      <c r="R32" s="7"/>
      <c r="S32" s="7"/>
      <c r="T32" s="7"/>
    </row>
    <row r="33" spans="2:20">
      <c r="B33" s="305"/>
      <c r="C33" s="306"/>
      <c r="D33" s="7"/>
      <c r="E33" s="7"/>
      <c r="F33" s="7"/>
      <c r="G33" s="7"/>
      <c r="H33" s="7"/>
      <c r="I33" s="303"/>
      <c r="J33" s="303"/>
      <c r="K33" s="303"/>
      <c r="L33" s="303"/>
      <c r="M33" s="7"/>
      <c r="N33" s="7"/>
      <c r="O33" s="7"/>
      <c r="P33" s="7"/>
      <c r="Q33" s="7"/>
      <c r="R33" s="7"/>
      <c r="S33" s="7"/>
      <c r="T33" s="7"/>
    </row>
    <row r="34" spans="2:20">
      <c r="B34" s="305"/>
      <c r="C34" s="306"/>
      <c r="D34" s="7"/>
      <c r="E34" s="7"/>
      <c r="F34" s="7"/>
      <c r="G34" s="7"/>
      <c r="H34" s="7"/>
      <c r="I34" s="303"/>
      <c r="J34" s="303"/>
      <c r="K34" s="303"/>
      <c r="L34" s="303"/>
      <c r="M34" s="7"/>
      <c r="N34" s="7"/>
      <c r="O34" s="7"/>
      <c r="P34" s="7"/>
      <c r="Q34" s="7"/>
      <c r="R34" s="7"/>
      <c r="S34" s="7"/>
      <c r="T34" s="7"/>
    </row>
    <row r="35" spans="2:20">
      <c r="B35" s="305"/>
      <c r="C35" s="306"/>
      <c r="D35" s="7"/>
      <c r="E35" s="7"/>
      <c r="F35" s="7"/>
      <c r="G35" s="7"/>
      <c r="H35" s="7"/>
      <c r="I35" s="303"/>
      <c r="J35" s="303"/>
      <c r="K35" s="303"/>
      <c r="L35" s="303"/>
      <c r="M35" s="7"/>
      <c r="N35" s="7"/>
      <c r="O35" s="7"/>
      <c r="P35" s="7"/>
      <c r="Q35" s="7"/>
      <c r="R35" s="7"/>
      <c r="S35" s="7"/>
      <c r="T35" s="7"/>
    </row>
    <row r="36" spans="2:20">
      <c r="B36" s="305"/>
      <c r="C36" s="306"/>
      <c r="D36" s="7"/>
      <c r="E36" s="7"/>
      <c r="F36" s="7"/>
      <c r="G36" s="7"/>
      <c r="H36" s="7"/>
      <c r="I36" s="303"/>
      <c r="J36" s="303"/>
      <c r="K36" s="303"/>
      <c r="L36" s="303"/>
      <c r="M36" s="7"/>
      <c r="N36" s="7"/>
      <c r="O36" s="7"/>
      <c r="P36" s="7"/>
      <c r="Q36" s="7"/>
      <c r="R36" s="7"/>
      <c r="S36" s="7"/>
      <c r="T36" s="7"/>
    </row>
    <row r="37" spans="2:20">
      <c r="B37" s="305"/>
      <c r="C37" s="306"/>
      <c r="D37" s="7"/>
      <c r="E37" s="7"/>
      <c r="F37" s="7"/>
      <c r="G37" s="7"/>
      <c r="H37" s="7"/>
      <c r="I37" s="303"/>
      <c r="J37" s="303"/>
      <c r="K37" s="303"/>
      <c r="L37" s="303"/>
      <c r="M37" s="7"/>
      <c r="N37" s="7"/>
      <c r="O37" s="7"/>
      <c r="P37" s="7"/>
      <c r="Q37" s="7"/>
      <c r="R37" s="7"/>
      <c r="S37" s="7"/>
      <c r="T37" s="7"/>
    </row>
    <row r="38" spans="2:20">
      <c r="B38" s="305"/>
      <c r="C38" s="306"/>
      <c r="D38" s="7"/>
      <c r="E38" s="7"/>
      <c r="F38" s="7"/>
      <c r="G38" s="7"/>
      <c r="H38" s="7"/>
      <c r="I38" s="303"/>
      <c r="J38" s="303"/>
      <c r="K38" s="303"/>
      <c r="L38" s="303"/>
      <c r="M38" s="7"/>
      <c r="N38" s="7"/>
      <c r="O38" s="7"/>
      <c r="P38" s="7"/>
      <c r="Q38" s="7"/>
      <c r="R38" s="7"/>
      <c r="S38" s="7"/>
      <c r="T38" s="7"/>
    </row>
    <row r="39" spans="2:20">
      <c r="B39" s="305"/>
      <c r="C39" s="306"/>
      <c r="D39" s="7"/>
      <c r="E39" s="7"/>
      <c r="F39" s="7"/>
      <c r="G39" s="7"/>
      <c r="H39" s="7"/>
      <c r="I39" s="303"/>
      <c r="J39" s="303"/>
      <c r="K39" s="303"/>
      <c r="L39" s="303"/>
      <c r="M39" s="7"/>
      <c r="N39" s="7"/>
      <c r="O39" s="7"/>
      <c r="P39" s="7"/>
      <c r="Q39" s="7"/>
      <c r="R39" s="7"/>
      <c r="S39" s="7"/>
      <c r="T39" s="7"/>
    </row>
    <row r="40" spans="2:20">
      <c r="B40" s="305"/>
      <c r="C40" s="306"/>
      <c r="D40" s="7"/>
      <c r="E40" s="7"/>
      <c r="F40" s="7"/>
      <c r="G40" s="7"/>
      <c r="H40" s="7"/>
      <c r="I40" s="303"/>
      <c r="J40" s="303"/>
      <c r="K40" s="303"/>
      <c r="L40" s="303"/>
      <c r="M40" s="7"/>
      <c r="N40" s="7"/>
      <c r="O40" s="7"/>
      <c r="P40" s="7"/>
      <c r="Q40" s="7"/>
      <c r="R40" s="7"/>
      <c r="S40" s="7"/>
      <c r="T40" s="7"/>
    </row>
    <row r="41" spans="2:20">
      <c r="B41" s="305"/>
      <c r="C41" s="306"/>
      <c r="D41" s="7"/>
      <c r="E41" s="7"/>
      <c r="F41" s="7"/>
      <c r="G41" s="7"/>
      <c r="H41" s="7"/>
      <c r="I41" s="303"/>
      <c r="J41" s="303"/>
      <c r="K41" s="303"/>
      <c r="L41" s="303"/>
      <c r="M41" s="7"/>
      <c r="N41" s="7"/>
      <c r="O41" s="7"/>
      <c r="P41" s="7"/>
      <c r="Q41" s="7"/>
      <c r="R41" s="7"/>
      <c r="S41" s="7"/>
      <c r="T41" s="7"/>
    </row>
    <row r="42" spans="2:20">
      <c r="B42" s="305"/>
      <c r="C42" s="306"/>
      <c r="D42" s="7"/>
      <c r="E42" s="7"/>
      <c r="F42" s="7"/>
      <c r="G42" s="7"/>
      <c r="H42" s="7"/>
      <c r="I42" s="303"/>
      <c r="J42" s="303"/>
      <c r="K42" s="303"/>
      <c r="L42" s="303"/>
      <c r="M42" s="7"/>
      <c r="N42" s="7"/>
      <c r="O42" s="7"/>
      <c r="P42" s="7"/>
      <c r="Q42" s="7"/>
      <c r="R42" s="7"/>
      <c r="S42" s="7"/>
      <c r="T42" s="7"/>
    </row>
    <row r="43" spans="2:20">
      <c r="B43" s="305"/>
      <c r="C43" s="306"/>
      <c r="D43" s="7"/>
      <c r="E43" s="7"/>
      <c r="F43" s="7"/>
      <c r="G43" s="7"/>
      <c r="H43" s="7"/>
      <c r="I43" s="307"/>
      <c r="J43" s="303"/>
      <c r="K43" s="307"/>
      <c r="L43" s="303"/>
      <c r="M43" s="7"/>
      <c r="N43" s="308"/>
      <c r="O43" s="308"/>
      <c r="P43" s="308"/>
      <c r="Q43" s="308"/>
      <c r="R43" s="309"/>
      <c r="S43" s="309"/>
      <c r="T43" s="7"/>
    </row>
    <row r="44" spans="2:20">
      <c r="B44" s="305"/>
      <c r="C44" s="306"/>
      <c r="D44" s="7"/>
      <c r="E44" s="7"/>
      <c r="F44" s="7"/>
      <c r="G44" s="7"/>
      <c r="H44" s="7"/>
      <c r="I44" s="303"/>
      <c r="J44" s="303"/>
      <c r="K44" s="303"/>
      <c r="L44" s="303"/>
      <c r="M44" s="7"/>
      <c r="N44" s="310"/>
      <c r="O44" s="310"/>
      <c r="P44" s="310"/>
      <c r="Q44" s="310"/>
      <c r="R44" s="308"/>
      <c r="S44" s="308"/>
      <c r="T44" s="7"/>
    </row>
    <row r="45" spans="2:20">
      <c r="B45" s="305"/>
      <c r="C45" s="306"/>
      <c r="D45" s="7"/>
      <c r="E45" s="7"/>
      <c r="F45" s="7"/>
      <c r="G45" s="7"/>
      <c r="H45" s="7"/>
      <c r="I45" s="303"/>
      <c r="J45" s="303"/>
      <c r="K45" s="303"/>
      <c r="L45" s="303"/>
      <c r="M45" s="7"/>
      <c r="N45" s="311"/>
      <c r="O45" s="311"/>
      <c r="P45" s="311"/>
      <c r="Q45" s="311"/>
      <c r="R45" s="311"/>
      <c r="S45" s="311"/>
      <c r="T45" s="7"/>
    </row>
    <row r="46" spans="2:20">
      <c r="B46" s="287"/>
      <c r="C46" s="288"/>
      <c r="I46" s="289"/>
      <c r="J46" s="289"/>
      <c r="K46" s="289"/>
      <c r="L46" s="289"/>
      <c r="N46" s="290"/>
      <c r="O46" s="290"/>
      <c r="P46" s="290"/>
      <c r="Q46" s="290"/>
      <c r="R46" s="290"/>
      <c r="S46" s="290"/>
    </row>
    <row r="47" spans="2:20">
      <c r="B47" s="287"/>
      <c r="C47" s="288"/>
      <c r="I47" s="289"/>
      <c r="J47" s="289"/>
      <c r="K47" s="289"/>
      <c r="L47" s="289"/>
      <c r="N47" s="290"/>
      <c r="O47" s="290"/>
      <c r="P47" s="290"/>
      <c r="Q47" s="290"/>
      <c r="R47" s="290"/>
      <c r="S47" s="290"/>
    </row>
    <row r="48" spans="2:20">
      <c r="B48" s="287"/>
      <c r="C48" s="288"/>
      <c r="I48" s="289"/>
      <c r="J48" s="289"/>
      <c r="K48" s="289"/>
      <c r="L48" s="289"/>
      <c r="N48" s="289"/>
      <c r="O48" s="289"/>
      <c r="P48" s="289"/>
      <c r="Q48" s="289"/>
      <c r="R48" s="289"/>
      <c r="S48" s="289"/>
    </row>
    <row r="49" spans="2:19">
      <c r="B49" s="287"/>
      <c r="C49" s="288"/>
      <c r="I49" s="289"/>
      <c r="J49" s="289"/>
      <c r="K49" s="289"/>
      <c r="L49" s="289"/>
      <c r="N49" s="289"/>
      <c r="O49" s="289"/>
      <c r="P49" s="289"/>
      <c r="Q49" s="289"/>
      <c r="R49" s="289"/>
      <c r="S49" s="289"/>
    </row>
    <row r="50" spans="2:19">
      <c r="B50" s="287"/>
      <c r="C50" s="288"/>
      <c r="I50" s="289"/>
      <c r="J50" s="289"/>
      <c r="K50" s="289"/>
      <c r="L50" s="289"/>
      <c r="N50" s="289"/>
      <c r="O50" s="289"/>
      <c r="P50" s="289"/>
      <c r="Q50" s="289"/>
      <c r="R50" s="289"/>
      <c r="S50" s="289"/>
    </row>
    <row r="51" spans="2:19">
      <c r="B51" s="287"/>
      <c r="C51" s="288"/>
      <c r="I51" s="289"/>
      <c r="J51" s="289"/>
      <c r="K51" s="289"/>
      <c r="L51" s="289"/>
      <c r="N51" s="289"/>
      <c r="O51" s="289"/>
      <c r="P51" s="289"/>
      <c r="Q51" s="289"/>
    </row>
    <row r="52" spans="2:19">
      <c r="B52" s="287"/>
      <c r="C52" s="288"/>
      <c r="I52" s="289"/>
      <c r="J52" s="289"/>
      <c r="K52" s="289"/>
      <c r="L52" s="289"/>
      <c r="N52" s="289"/>
      <c r="O52" s="289"/>
      <c r="P52" s="289"/>
      <c r="Q52" s="289"/>
    </row>
    <row r="53" spans="2:19">
      <c r="B53" s="287"/>
      <c r="C53" s="288"/>
      <c r="I53" s="282"/>
      <c r="J53" s="282"/>
      <c r="K53" s="282"/>
      <c r="L53" s="282"/>
      <c r="N53" s="282"/>
      <c r="O53" s="282"/>
      <c r="P53" s="282"/>
      <c r="Q53" s="282"/>
    </row>
    <row r="54" spans="2:19">
      <c r="B54" s="287"/>
      <c r="C54" s="288"/>
      <c r="I54" s="282"/>
      <c r="J54" s="282"/>
      <c r="K54" s="282"/>
      <c r="L54" s="282"/>
      <c r="N54" s="282"/>
      <c r="O54" s="282"/>
      <c r="P54" s="282"/>
      <c r="Q54" s="282"/>
    </row>
    <row r="55" spans="2:19">
      <c r="B55" s="287"/>
      <c r="C55" s="288"/>
      <c r="I55" s="282"/>
      <c r="J55" s="282"/>
      <c r="K55" s="282"/>
      <c r="L55" s="282"/>
      <c r="N55" s="282"/>
      <c r="O55" s="282"/>
      <c r="P55" s="282"/>
      <c r="Q55" s="282"/>
    </row>
    <row r="56" spans="2:19">
      <c r="B56" s="287"/>
      <c r="C56" s="288"/>
      <c r="I56" s="282"/>
      <c r="J56" s="282"/>
      <c r="K56" s="282"/>
      <c r="L56" s="282"/>
      <c r="N56" s="282"/>
      <c r="O56" s="282"/>
      <c r="P56" s="282"/>
      <c r="Q56" s="282"/>
    </row>
    <row r="57" spans="2:19">
      <c r="B57" s="287"/>
      <c r="C57" s="288"/>
      <c r="I57" s="282"/>
      <c r="J57" s="282"/>
      <c r="K57" s="282"/>
      <c r="L57" s="282"/>
      <c r="N57" s="282"/>
      <c r="O57" s="282"/>
      <c r="P57" s="282"/>
      <c r="Q57" s="282"/>
    </row>
    <row r="58" spans="2:19">
      <c r="B58" s="287"/>
      <c r="C58" s="288"/>
      <c r="I58" s="282"/>
      <c r="J58" s="282"/>
      <c r="K58" s="282"/>
      <c r="L58" s="282"/>
      <c r="N58" s="282"/>
      <c r="O58" s="282"/>
      <c r="P58" s="282"/>
      <c r="Q58" s="282"/>
    </row>
    <row r="59" spans="2:19">
      <c r="B59" s="287"/>
      <c r="C59" s="288"/>
      <c r="I59" s="282"/>
      <c r="J59" s="282"/>
      <c r="K59" s="282"/>
      <c r="L59" s="282"/>
      <c r="N59" s="282"/>
      <c r="O59" s="282"/>
      <c r="P59" s="282"/>
      <c r="Q59" s="282"/>
    </row>
    <row r="60" spans="2:19">
      <c r="B60" s="287"/>
      <c r="C60" s="288"/>
      <c r="I60" s="282"/>
      <c r="J60" s="282"/>
      <c r="K60" s="282"/>
      <c r="L60" s="282"/>
    </row>
    <row r="61" spans="2:19">
      <c r="B61" s="287"/>
      <c r="C61" s="288"/>
      <c r="I61" s="282"/>
      <c r="J61" s="282"/>
      <c r="K61" s="282"/>
      <c r="L61" s="282"/>
    </row>
    <row r="62" spans="2:19">
      <c r="B62" s="287"/>
      <c r="C62" s="288"/>
      <c r="I62" s="282"/>
      <c r="J62" s="282"/>
      <c r="K62" s="282"/>
      <c r="L62" s="282"/>
    </row>
    <row r="63" spans="2:19">
      <c r="B63" s="287"/>
      <c r="C63" s="288"/>
      <c r="I63" s="282"/>
      <c r="J63" s="282"/>
      <c r="K63" s="282"/>
      <c r="L63" s="282"/>
    </row>
    <row r="64" spans="2:19">
      <c r="B64" s="287"/>
      <c r="C64" s="288"/>
      <c r="I64" s="282"/>
      <c r="J64" s="282"/>
      <c r="K64" s="282"/>
      <c r="L64" s="282"/>
    </row>
    <row r="65" spans="2:12">
      <c r="B65" s="287"/>
      <c r="C65" s="288"/>
      <c r="I65" s="282"/>
      <c r="J65" s="282"/>
      <c r="K65" s="282"/>
      <c r="L65" s="282"/>
    </row>
    <row r="66" spans="2:12">
      <c r="B66" s="287"/>
      <c r="C66" s="288"/>
      <c r="I66" s="282"/>
      <c r="J66" s="282"/>
      <c r="K66" s="282"/>
      <c r="L66" s="282"/>
    </row>
    <row r="67" spans="2:12">
      <c r="B67" s="287"/>
      <c r="C67" s="288"/>
      <c r="I67" s="282"/>
      <c r="J67" s="282"/>
      <c r="K67" s="282"/>
      <c r="L67" s="282"/>
    </row>
    <row r="68" spans="2:12">
      <c r="B68" s="287"/>
      <c r="C68" s="288"/>
      <c r="I68" s="282"/>
      <c r="J68" s="282"/>
      <c r="K68" s="282"/>
      <c r="L68" s="282"/>
    </row>
    <row r="69" spans="2:12">
      <c r="B69" s="287"/>
      <c r="C69" s="288"/>
      <c r="I69" s="282"/>
      <c r="J69" s="282"/>
      <c r="K69" s="282"/>
      <c r="L69" s="282"/>
    </row>
    <row r="70" spans="2:12">
      <c r="B70" s="287"/>
      <c r="C70" s="288"/>
      <c r="I70" s="282"/>
      <c r="J70" s="282"/>
      <c r="K70" s="282"/>
      <c r="L70" s="282"/>
    </row>
    <row r="71" spans="2:12">
      <c r="B71" s="287"/>
      <c r="C71" s="288"/>
      <c r="I71" s="282"/>
      <c r="J71" s="282"/>
      <c r="K71" s="282"/>
      <c r="L71" s="282"/>
    </row>
    <row r="72" spans="2:12">
      <c r="B72" s="287"/>
      <c r="C72" s="288"/>
      <c r="I72" s="282"/>
      <c r="J72" s="282"/>
      <c r="K72" s="282"/>
      <c r="L72" s="282"/>
    </row>
    <row r="73" spans="2:12">
      <c r="B73" s="287"/>
      <c r="C73" s="288"/>
      <c r="I73" s="282"/>
      <c r="J73" s="282"/>
      <c r="K73" s="282"/>
      <c r="L73" s="2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DFC5-DDF3-42FA-B6C9-654C8295AD92}">
  <dimension ref="B3:L69"/>
  <sheetViews>
    <sheetView workbookViewId="0">
      <selection activeCell="C22" sqref="C22"/>
    </sheetView>
  </sheetViews>
  <sheetFormatPr defaultRowHeight="14.4"/>
  <cols>
    <col min="2" max="2" width="58.77734375" bestFit="1" customWidth="1"/>
    <col min="3" max="3" width="30.33203125" bestFit="1" customWidth="1"/>
    <col min="6" max="6" width="9.21875" bestFit="1" customWidth="1"/>
  </cols>
  <sheetData>
    <row r="3" spans="2:12">
      <c r="E3" s="1" t="s">
        <v>976</v>
      </c>
      <c r="F3" s="1"/>
      <c r="G3" s="1"/>
      <c r="H3" s="1"/>
      <c r="I3" s="1"/>
    </row>
    <row r="5" spans="2:12">
      <c r="B5" s="1" t="s">
        <v>977</v>
      </c>
      <c r="I5" s="281"/>
      <c r="J5" s="282"/>
      <c r="K5" s="283"/>
      <c r="L5" s="282"/>
    </row>
    <row r="6" spans="2:12">
      <c r="I6" s="282" t="s">
        <v>894</v>
      </c>
      <c r="J6" s="282"/>
      <c r="K6" s="283"/>
      <c r="L6" s="282"/>
    </row>
    <row r="7" spans="2:12">
      <c r="B7" s="284" t="s">
        <v>895</v>
      </c>
      <c r="I7" s="282"/>
      <c r="J7" s="282"/>
      <c r="K7" s="282"/>
      <c r="L7" s="282"/>
    </row>
    <row r="8" spans="2:12">
      <c r="B8" t="s">
        <v>896</v>
      </c>
      <c r="D8" s="284"/>
      <c r="E8" s="284"/>
      <c r="F8" s="284"/>
      <c r="G8" s="284"/>
      <c r="I8" s="281" t="s">
        <v>897</v>
      </c>
      <c r="J8" s="283"/>
      <c r="K8" s="282"/>
      <c r="L8" s="282"/>
    </row>
    <row r="9" spans="2:12">
      <c r="B9" s="7" t="s">
        <v>898</v>
      </c>
      <c r="C9" s="7"/>
      <c r="I9" s="282"/>
      <c r="J9" s="282"/>
      <c r="K9" s="282"/>
      <c r="L9" s="282"/>
    </row>
    <row r="10" spans="2:12">
      <c r="B10" t="s">
        <v>899</v>
      </c>
      <c r="I10" s="282"/>
      <c r="J10" s="282"/>
      <c r="K10" s="282"/>
      <c r="L10" s="282"/>
    </row>
    <row r="11" spans="2:12">
      <c r="B11" t="s">
        <v>900</v>
      </c>
      <c r="I11" s="282"/>
      <c r="J11" s="282"/>
      <c r="K11" s="282"/>
      <c r="L11" s="282"/>
    </row>
    <row r="12" spans="2:12" ht="15.6">
      <c r="B12" t="s">
        <v>939</v>
      </c>
      <c r="I12" s="282"/>
      <c r="J12" s="282"/>
      <c r="K12" s="282"/>
      <c r="L12" s="285"/>
    </row>
    <row r="13" spans="2:12">
      <c r="I13" s="282"/>
      <c r="J13" s="282"/>
      <c r="K13" s="282"/>
    </row>
    <row r="14" spans="2:12">
      <c r="C14" s="1" t="s">
        <v>970</v>
      </c>
      <c r="I14" s="282"/>
      <c r="J14" s="282"/>
      <c r="K14" s="282"/>
    </row>
    <row r="15" spans="2:12">
      <c r="B15" s="317" t="s">
        <v>903</v>
      </c>
      <c r="C15" s="318"/>
      <c r="D15" s="318"/>
      <c r="E15" s="318"/>
      <c r="F15" s="318"/>
      <c r="G15" s="318"/>
      <c r="H15" s="318"/>
      <c r="I15" s="319"/>
      <c r="J15" s="320"/>
      <c r="K15" s="282"/>
    </row>
    <row r="16" spans="2:12">
      <c r="B16" s="321"/>
      <c r="I16" s="282"/>
      <c r="J16" s="322"/>
      <c r="K16" s="282"/>
    </row>
    <row r="17" spans="2:12">
      <c r="B17" s="321" t="s">
        <v>964</v>
      </c>
      <c r="I17" s="282"/>
      <c r="J17" s="341">
        <v>346.67700000000002</v>
      </c>
      <c r="K17" s="282"/>
    </row>
    <row r="18" spans="2:12">
      <c r="B18" s="321" t="s">
        <v>965</v>
      </c>
      <c r="I18" s="282"/>
      <c r="J18" s="324">
        <v>336.11900000000003</v>
      </c>
      <c r="K18" s="282"/>
    </row>
    <row r="19" spans="2:12">
      <c r="B19" s="321" t="s">
        <v>906</v>
      </c>
      <c r="I19" s="282"/>
      <c r="J19" s="325">
        <f>+J17/J18</f>
        <v>1.0314114941434431</v>
      </c>
      <c r="K19" s="282"/>
    </row>
    <row r="20" spans="2:12">
      <c r="B20" s="321"/>
      <c r="I20" s="282"/>
      <c r="J20" s="322"/>
      <c r="K20" s="282"/>
    </row>
    <row r="21" spans="2:12" ht="32.4">
      <c r="B21" s="326"/>
      <c r="C21" s="327" t="s">
        <v>945</v>
      </c>
      <c r="F21" t="s">
        <v>246</v>
      </c>
      <c r="I21" s="282"/>
      <c r="J21" s="322"/>
      <c r="K21" s="282"/>
    </row>
    <row r="22" spans="2:12">
      <c r="B22" s="321"/>
      <c r="I22" s="282"/>
      <c r="J22" s="322"/>
      <c r="K22" s="282"/>
    </row>
    <row r="23" spans="2:12">
      <c r="B23" s="321"/>
      <c r="I23" s="282"/>
      <c r="J23" s="322"/>
      <c r="K23" s="282"/>
    </row>
    <row r="24" spans="2:12">
      <c r="B24" s="321"/>
      <c r="I24" s="282"/>
      <c r="J24" s="322"/>
      <c r="K24" s="282"/>
    </row>
    <row r="25" spans="2:12">
      <c r="B25" s="328"/>
      <c r="C25" s="192"/>
      <c r="D25" s="192"/>
      <c r="E25" s="192"/>
      <c r="F25" s="192"/>
      <c r="G25" s="192"/>
      <c r="H25" s="192"/>
      <c r="I25" s="329"/>
      <c r="J25" s="330"/>
      <c r="K25" s="282"/>
    </row>
    <row r="26" spans="2:12">
      <c r="I26" s="282"/>
      <c r="J26" s="282"/>
      <c r="K26" s="282"/>
    </row>
    <row r="27" spans="2:12">
      <c r="I27" s="282"/>
      <c r="J27" s="282"/>
      <c r="K27" s="282"/>
    </row>
    <row r="28" spans="2:12">
      <c r="B28" s="331">
        <v>44986</v>
      </c>
      <c r="C28" s="323">
        <v>336.11900000000003</v>
      </c>
      <c r="D28" s="346" t="s">
        <v>962</v>
      </c>
      <c r="E28" s="48"/>
      <c r="F28" s="48"/>
      <c r="I28" s="282"/>
      <c r="J28" s="282"/>
      <c r="K28" s="282"/>
    </row>
    <row r="29" spans="2:12">
      <c r="B29" s="331">
        <v>45017</v>
      </c>
      <c r="C29" s="323">
        <v>337.09399999999999</v>
      </c>
      <c r="D29" s="347"/>
      <c r="I29" s="282"/>
      <c r="J29" s="282"/>
      <c r="K29" s="282"/>
    </row>
    <row r="30" spans="2:12">
      <c r="B30" s="331">
        <v>45047</v>
      </c>
      <c r="C30" s="323">
        <v>337.24900000000002</v>
      </c>
      <c r="D30" s="347"/>
      <c r="I30" s="282"/>
      <c r="J30" s="282"/>
      <c r="K30" s="282"/>
      <c r="L30" s="282"/>
    </row>
    <row r="31" spans="2:12">
      <c r="B31" s="331">
        <v>45078</v>
      </c>
      <c r="C31" s="323">
        <v>336.64299999999997</v>
      </c>
      <c r="D31" s="347"/>
      <c r="I31" s="282"/>
      <c r="J31" s="282"/>
      <c r="K31" s="282"/>
      <c r="L31" s="282"/>
    </row>
    <row r="32" spans="2:12">
      <c r="B32" s="331">
        <v>45108</v>
      </c>
      <c r="C32" s="323">
        <v>338.19900000000001</v>
      </c>
      <c r="D32" s="347"/>
      <c r="I32" s="282"/>
      <c r="J32" s="282"/>
      <c r="K32" s="282"/>
      <c r="L32" s="282"/>
    </row>
    <row r="33" spans="2:12">
      <c r="B33" s="331">
        <v>45139</v>
      </c>
      <c r="C33" s="323">
        <v>338.50700000000001</v>
      </c>
      <c r="D33" s="347"/>
      <c r="I33" s="282"/>
      <c r="J33" s="282"/>
      <c r="K33" s="282"/>
      <c r="L33" s="282"/>
    </row>
    <row r="34" spans="2:12">
      <c r="B34" s="331">
        <v>45170</v>
      </c>
      <c r="C34" s="323">
        <v>338.75200000000001</v>
      </c>
      <c r="D34" s="347"/>
      <c r="I34" s="282"/>
      <c r="J34" s="282"/>
      <c r="K34" s="282"/>
      <c r="L34" s="282"/>
    </row>
    <row r="35" spans="2:12">
      <c r="B35" s="331">
        <v>45200</v>
      </c>
      <c r="C35" s="323">
        <v>342.53899999999999</v>
      </c>
      <c r="D35" s="347"/>
      <c r="I35" s="282"/>
      <c r="J35" s="282"/>
      <c r="K35" s="282"/>
      <c r="L35" s="282"/>
    </row>
    <row r="36" spans="2:12">
      <c r="B36" s="331">
        <v>45231</v>
      </c>
      <c r="C36" s="323">
        <v>342.19</v>
      </c>
      <c r="I36" s="282"/>
      <c r="J36" s="282"/>
      <c r="K36" s="282"/>
      <c r="L36" s="282"/>
    </row>
    <row r="37" spans="2:12">
      <c r="B37" s="331">
        <v>45261</v>
      </c>
      <c r="C37" s="323">
        <v>344.27</v>
      </c>
      <c r="D37" s="347"/>
      <c r="I37" s="282"/>
      <c r="J37" s="282"/>
      <c r="K37" s="282"/>
      <c r="L37" s="282"/>
    </row>
    <row r="38" spans="2:12">
      <c r="B38" s="331">
        <v>45292</v>
      </c>
      <c r="C38" s="323">
        <v>346.67700000000002</v>
      </c>
      <c r="D38" s="346" t="s">
        <v>963</v>
      </c>
      <c r="E38" s="48"/>
      <c r="F38" s="349">
        <v>44980</v>
      </c>
      <c r="I38" s="282"/>
      <c r="J38" s="282"/>
      <c r="K38" s="282"/>
      <c r="L38" s="282"/>
    </row>
    <row r="39" spans="2:12">
      <c r="B39" s="331"/>
      <c r="C39" s="331"/>
      <c r="D39" s="347"/>
      <c r="I39" s="282"/>
      <c r="J39" s="282"/>
      <c r="K39" s="282"/>
      <c r="L39" s="282"/>
    </row>
    <row r="40" spans="2:12">
      <c r="B40" s="331"/>
      <c r="C40" s="331"/>
      <c r="D40" s="347"/>
      <c r="I40" s="282"/>
      <c r="J40" s="282"/>
      <c r="K40" s="282"/>
      <c r="L40" s="282"/>
    </row>
    <row r="41" spans="2:12">
      <c r="B41" s="331"/>
      <c r="C41" s="331"/>
      <c r="D41" s="347"/>
      <c r="I41" s="282"/>
      <c r="J41" s="282"/>
      <c r="K41" s="282"/>
      <c r="L41" s="282"/>
    </row>
    <row r="42" spans="2:12">
      <c r="B42" s="331"/>
      <c r="C42" s="355" t="s">
        <v>972</v>
      </c>
      <c r="D42" s="347"/>
      <c r="I42" s="282"/>
      <c r="J42" s="282"/>
      <c r="K42" s="282"/>
      <c r="L42" s="282"/>
    </row>
    <row r="43" spans="2:12">
      <c r="B43" s="331">
        <v>45017</v>
      </c>
      <c r="C43" s="288">
        <v>337.09399999999999</v>
      </c>
      <c r="D43" s="347"/>
      <c r="I43" s="289"/>
      <c r="J43" s="289"/>
      <c r="K43" s="289"/>
      <c r="L43" s="289"/>
    </row>
    <row r="44" spans="2:12">
      <c r="B44" s="331">
        <v>45047</v>
      </c>
      <c r="C44" s="323">
        <v>337.24900000000002</v>
      </c>
      <c r="D44" s="347"/>
      <c r="I44" s="289"/>
      <c r="J44" s="289"/>
      <c r="K44" s="289"/>
      <c r="L44" s="289"/>
    </row>
    <row r="45" spans="2:12">
      <c r="B45" s="331">
        <v>45078</v>
      </c>
      <c r="C45" s="323">
        <v>336.64299999999997</v>
      </c>
      <c r="D45" s="347"/>
      <c r="I45" s="342"/>
      <c r="J45" s="289"/>
      <c r="K45" s="342"/>
      <c r="L45" s="289"/>
    </row>
    <row r="46" spans="2:12">
      <c r="B46" s="331">
        <v>45108</v>
      </c>
      <c r="C46" s="323">
        <v>338.19900000000001</v>
      </c>
      <c r="D46" s="347"/>
      <c r="I46" s="289"/>
      <c r="J46" s="289"/>
      <c r="K46" s="289"/>
      <c r="L46" s="289"/>
    </row>
    <row r="47" spans="2:12">
      <c r="B47" s="331">
        <v>45139</v>
      </c>
      <c r="C47" s="323">
        <v>338.50700000000001</v>
      </c>
      <c r="D47" s="347"/>
      <c r="I47" s="289"/>
      <c r="J47" s="289"/>
      <c r="K47" s="289"/>
      <c r="L47" s="289"/>
    </row>
    <row r="48" spans="2:12">
      <c r="B48" s="331">
        <v>45170</v>
      </c>
      <c r="C48" s="323">
        <v>338.75200000000001</v>
      </c>
      <c r="D48" s="347"/>
      <c r="I48" s="289"/>
      <c r="J48" s="289"/>
      <c r="K48" s="289"/>
      <c r="L48" s="289"/>
    </row>
    <row r="49" spans="2:12">
      <c r="B49" s="331">
        <v>45200</v>
      </c>
      <c r="C49" s="323">
        <v>342.53899999999999</v>
      </c>
      <c r="D49" s="347"/>
      <c r="I49" s="289"/>
      <c r="J49" s="289"/>
      <c r="K49" s="289"/>
      <c r="L49" s="289"/>
    </row>
    <row r="50" spans="2:12">
      <c r="B50" s="331">
        <v>45231</v>
      </c>
      <c r="C50" s="323">
        <v>342.19</v>
      </c>
      <c r="D50" s="347"/>
      <c r="I50" s="289"/>
      <c r="J50" s="289"/>
      <c r="K50" s="289"/>
      <c r="L50" s="289"/>
    </row>
    <row r="51" spans="2:12">
      <c r="B51" s="331">
        <v>45261</v>
      </c>
      <c r="C51" s="323">
        <v>344.27</v>
      </c>
      <c r="I51" s="289"/>
      <c r="J51" s="289"/>
      <c r="K51" s="289"/>
      <c r="L51" s="289"/>
    </row>
    <row r="52" spans="2:12">
      <c r="B52" s="331">
        <v>45292</v>
      </c>
      <c r="C52" s="323">
        <v>346.67700000000002</v>
      </c>
      <c r="I52" s="289"/>
      <c r="J52" s="289"/>
      <c r="K52" s="289"/>
      <c r="L52" s="289"/>
    </row>
    <row r="53" spans="2:12">
      <c r="B53" s="331">
        <v>45323</v>
      </c>
      <c r="C53" s="323">
        <v>346.80700000000002</v>
      </c>
    </row>
    <row r="54" spans="2:12">
      <c r="B54" s="331">
        <v>45352</v>
      </c>
      <c r="C54" s="288">
        <v>349.75599999999997</v>
      </c>
      <c r="D54" s="346" t="s">
        <v>963</v>
      </c>
      <c r="E54" s="48"/>
      <c r="F54" s="349"/>
    </row>
    <row r="57" spans="2:12">
      <c r="C57" s="1" t="s">
        <v>971</v>
      </c>
      <c r="I57" s="282"/>
      <c r="J57" s="282"/>
    </row>
    <row r="58" spans="2:12">
      <c r="B58" s="317" t="s">
        <v>903</v>
      </c>
      <c r="C58" s="318"/>
      <c r="D58" s="318"/>
      <c r="E58" s="318"/>
      <c r="F58" s="318"/>
      <c r="G58" s="318"/>
      <c r="H58" s="318"/>
      <c r="I58" s="319"/>
      <c r="J58" s="320"/>
    </row>
    <row r="59" spans="2:12">
      <c r="B59" s="321"/>
      <c r="I59" s="282"/>
      <c r="J59" s="322"/>
    </row>
    <row r="60" spans="2:12">
      <c r="B60" s="321" t="s">
        <v>974</v>
      </c>
      <c r="I60" s="282"/>
      <c r="J60" s="341">
        <v>349.75</v>
      </c>
    </row>
    <row r="61" spans="2:12">
      <c r="B61" s="321" t="s">
        <v>975</v>
      </c>
      <c r="I61" s="282"/>
      <c r="J61" s="324">
        <v>337.09399999999999</v>
      </c>
    </row>
    <row r="62" spans="2:12">
      <c r="B62" s="321" t="s">
        <v>906</v>
      </c>
      <c r="I62" s="282"/>
      <c r="J62" s="325">
        <f>+J60/J61</f>
        <v>1.0375444238105691</v>
      </c>
    </row>
    <row r="63" spans="2:12">
      <c r="B63" s="321"/>
      <c r="I63" s="282"/>
      <c r="J63" s="322"/>
    </row>
    <row r="64" spans="2:12" ht="32.4">
      <c r="B64" s="326"/>
      <c r="C64" s="327" t="s">
        <v>973</v>
      </c>
      <c r="I64" s="282"/>
      <c r="J64" s="322"/>
    </row>
    <row r="65" spans="2:10">
      <c r="B65" s="321"/>
      <c r="I65" s="282"/>
      <c r="J65" s="322"/>
    </row>
    <row r="66" spans="2:10">
      <c r="B66" s="321"/>
      <c r="I66" s="282"/>
      <c r="J66" s="322"/>
    </row>
    <row r="67" spans="2:10">
      <c r="B67" s="321"/>
      <c r="I67" s="282"/>
      <c r="J67" s="322"/>
    </row>
    <row r="68" spans="2:10">
      <c r="B68" s="328"/>
      <c r="C68" s="192"/>
      <c r="D68" s="192"/>
      <c r="E68" s="192"/>
      <c r="F68" s="192"/>
      <c r="G68" s="192"/>
      <c r="H68" s="192"/>
      <c r="I68" s="329"/>
      <c r="J68" s="330"/>
    </row>
    <row r="69" spans="2:10">
      <c r="I69" s="282"/>
      <c r="J69" s="282"/>
    </row>
  </sheetData>
  <hyperlinks>
    <hyperlink ref="I8" r:id="rId1" display="https://fred.stlouisfed.org/series/WPU1413" xr:uid="{0055BA40-B168-4E6B-9CC2-3E0726EB5867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0B843-CEF7-4947-ADD8-D9EF3EF72891}">
  <dimension ref="A1:I13"/>
  <sheetViews>
    <sheetView workbookViewId="0">
      <selection activeCell="E11" sqref="E11"/>
    </sheetView>
  </sheetViews>
  <sheetFormatPr defaultRowHeight="14.4"/>
  <sheetData>
    <row r="1" spans="1:9">
      <c r="A1" t="s">
        <v>679</v>
      </c>
    </row>
    <row r="4" spans="1:9">
      <c r="I4" s="1" t="s">
        <v>680</v>
      </c>
    </row>
    <row r="6" spans="1:9" ht="15.6">
      <c r="D6" s="46"/>
    </row>
    <row r="7" spans="1:9" ht="15.6">
      <c r="D7" s="46" t="s">
        <v>681</v>
      </c>
    </row>
    <row r="8" spans="1:9" ht="15.6">
      <c r="D8" s="47"/>
    </row>
    <row r="9" spans="1:9" ht="15.6">
      <c r="D9" s="47"/>
      <c r="E9" s="47" t="s">
        <v>682</v>
      </c>
    </row>
    <row r="10" spans="1:9" ht="15.6">
      <c r="D10" s="47"/>
      <c r="E10" s="47" t="s">
        <v>737</v>
      </c>
    </row>
    <row r="11" spans="1:9" ht="15.6">
      <c r="D11" s="47"/>
      <c r="E11" s="47" t="s">
        <v>683</v>
      </c>
    </row>
    <row r="12" spans="1:9" ht="15.6">
      <c r="E12" s="47" t="s">
        <v>684</v>
      </c>
    </row>
    <row r="13" spans="1:9" ht="15.6">
      <c r="E13" s="47" t="s">
        <v>685</v>
      </c>
    </row>
  </sheetData>
  <sheetProtection algorithmName="SHA-512" hashValue="prx9q03XI4IRt8gDfXP8WrkX/OuZfmqt8l2LbBE4qfrRwYvNUbVp0q7U31S+zCr0k/cRfc+e3xpmKjZTA9Eu5A==" saltValue="wQd/6lRMeSkHxcQFMqGb2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36F2-DBEE-401F-87AD-1F180A64D74C}">
  <dimension ref="B4:M22"/>
  <sheetViews>
    <sheetView workbookViewId="0">
      <selection activeCell="N20" sqref="N20"/>
    </sheetView>
  </sheetViews>
  <sheetFormatPr defaultRowHeight="14.4"/>
  <sheetData>
    <row r="4" spans="2:11">
      <c r="B4" s="1" t="s">
        <v>632</v>
      </c>
      <c r="C4" s="1"/>
      <c r="E4" t="s">
        <v>633</v>
      </c>
      <c r="G4" s="44" t="s">
        <v>634</v>
      </c>
      <c r="K4" t="s">
        <v>635</v>
      </c>
    </row>
    <row r="5" spans="2:11">
      <c r="E5" t="s">
        <v>674</v>
      </c>
      <c r="G5" s="44" t="s">
        <v>675</v>
      </c>
      <c r="K5" t="s">
        <v>676</v>
      </c>
    </row>
    <row r="6" spans="2:11">
      <c r="G6" s="44"/>
    </row>
    <row r="7" spans="2:11">
      <c r="B7" s="1" t="s">
        <v>477</v>
      </c>
      <c r="C7" s="1"/>
      <c r="D7" t="s">
        <v>636</v>
      </c>
      <c r="E7" t="s">
        <v>637</v>
      </c>
      <c r="G7" s="44" t="s">
        <v>638</v>
      </c>
      <c r="K7" t="s">
        <v>642</v>
      </c>
    </row>
    <row r="8" spans="2:11">
      <c r="D8" t="s">
        <v>639</v>
      </c>
      <c r="E8" t="s">
        <v>640</v>
      </c>
      <c r="G8" s="44" t="s">
        <v>641</v>
      </c>
      <c r="K8" t="s">
        <v>649</v>
      </c>
    </row>
    <row r="9" spans="2:11">
      <c r="D9" t="s">
        <v>639</v>
      </c>
      <c r="E9" t="s">
        <v>686</v>
      </c>
      <c r="G9" s="44" t="s">
        <v>687</v>
      </c>
      <c r="K9" t="s">
        <v>688</v>
      </c>
    </row>
    <row r="10" spans="2:11">
      <c r="B10" s="1" t="s">
        <v>223</v>
      </c>
      <c r="D10" t="s">
        <v>639</v>
      </c>
      <c r="E10" t="s">
        <v>643</v>
      </c>
      <c r="G10" s="44" t="s">
        <v>644</v>
      </c>
      <c r="K10" t="s">
        <v>655</v>
      </c>
    </row>
    <row r="11" spans="2:11">
      <c r="D11" t="s">
        <v>639</v>
      </c>
      <c r="E11" t="s">
        <v>645</v>
      </c>
      <c r="G11" s="44" t="s">
        <v>646</v>
      </c>
      <c r="K11" t="s">
        <v>654</v>
      </c>
    </row>
    <row r="12" spans="2:11">
      <c r="D12" t="s">
        <v>639</v>
      </c>
      <c r="E12" t="s">
        <v>647</v>
      </c>
      <c r="G12" s="44" t="s">
        <v>650</v>
      </c>
      <c r="K12" t="s">
        <v>648</v>
      </c>
    </row>
    <row r="13" spans="2:11">
      <c r="D13" t="s">
        <v>636</v>
      </c>
      <c r="E13" t="s">
        <v>651</v>
      </c>
      <c r="G13" s="44" t="s">
        <v>652</v>
      </c>
      <c r="K13" t="s">
        <v>653</v>
      </c>
    </row>
    <row r="14" spans="2:11">
      <c r="D14" t="s">
        <v>636</v>
      </c>
      <c r="E14" t="s">
        <v>656</v>
      </c>
      <c r="G14" s="44" t="s">
        <v>658</v>
      </c>
      <c r="K14" t="s">
        <v>657</v>
      </c>
    </row>
    <row r="16" spans="2:11">
      <c r="B16" s="1" t="s">
        <v>659</v>
      </c>
      <c r="E16" t="s">
        <v>660</v>
      </c>
      <c r="G16" s="44" t="s">
        <v>662</v>
      </c>
      <c r="K16" t="s">
        <v>661</v>
      </c>
    </row>
    <row r="19" spans="2:13">
      <c r="B19" s="1" t="s">
        <v>663</v>
      </c>
      <c r="D19" t="s">
        <v>673</v>
      </c>
      <c r="E19" t="s">
        <v>664</v>
      </c>
      <c r="G19" s="44" t="s">
        <v>665</v>
      </c>
      <c r="K19" t="s">
        <v>666</v>
      </c>
    </row>
    <row r="20" spans="2:13">
      <c r="E20" t="s">
        <v>667</v>
      </c>
      <c r="G20" s="44" t="s">
        <v>669</v>
      </c>
      <c r="K20" t="s">
        <v>668</v>
      </c>
      <c r="M20" s="45"/>
    </row>
    <row r="22" spans="2:13">
      <c r="B22" s="1" t="s">
        <v>474</v>
      </c>
      <c r="D22" t="s">
        <v>673</v>
      </c>
      <c r="E22" t="s">
        <v>670</v>
      </c>
      <c r="G22" s="44" t="s">
        <v>671</v>
      </c>
      <c r="K22" t="s">
        <v>672</v>
      </c>
    </row>
  </sheetData>
  <sheetProtection algorithmName="SHA-512" hashValue="XUghQKqg/6YAvht+ztqwc5vRMwdQZuziZ8wJ0q8/uceh74aCthphrsjHsLREXOoqACtES2nPZwbFYkgltGQPmg==" saltValue="Vlkkq9N3pIFhW8Xg3ZFWxg==" spinCount="100000" sheet="1" objects="1" scenarios="1"/>
  <hyperlinks>
    <hyperlink ref="G4" r:id="rId1" xr:uid="{7FC6FBC7-97FF-4B17-990B-E6C81BA60602}"/>
    <hyperlink ref="G7" r:id="rId2" xr:uid="{5E0BEF53-866E-44D8-8B57-6080C21D1B14}"/>
    <hyperlink ref="G8" r:id="rId3" xr:uid="{4AD15601-F7F7-4EC0-802F-3E4BAA372A6D}"/>
    <hyperlink ref="G10" r:id="rId4" xr:uid="{1F0CAB41-E2F0-49F4-89B0-7519EFF0C4E4}"/>
    <hyperlink ref="G11" r:id="rId5" xr:uid="{D08E7B4D-0EE7-4344-9245-3221293FCE01}"/>
    <hyperlink ref="G12" r:id="rId6" xr:uid="{8FAC3638-0F40-460C-806E-E8EBF7520F98}"/>
    <hyperlink ref="G13" r:id="rId7" xr:uid="{2450E8A1-45B3-4049-AAA5-CDFA983556D9}"/>
    <hyperlink ref="G14" r:id="rId8" xr:uid="{914295C2-C43C-4BF9-960A-CE9D78C1982C}"/>
    <hyperlink ref="G16" r:id="rId9" xr:uid="{6655F835-0544-4708-AD96-A332D487E32C}"/>
    <hyperlink ref="G19" r:id="rId10" xr:uid="{847929CC-2E10-4DF9-BEE7-A0FC083B6160}"/>
    <hyperlink ref="G20" r:id="rId11" xr:uid="{9B1C8EC8-50B1-4E71-825D-6D75AE595060}"/>
    <hyperlink ref="G22" r:id="rId12" xr:uid="{9E4C896E-59F1-415D-AB84-2E14724E8672}"/>
    <hyperlink ref="G5" r:id="rId13" xr:uid="{5A1218C0-0397-498A-B478-F83AABAAF12A}"/>
    <hyperlink ref="G9" r:id="rId14" xr:uid="{659C587E-3958-4436-92D1-97C6BDF307C9}"/>
  </hyperlinks>
  <pageMargins left="0.7" right="0.7" top="0.75" bottom="0.75" header="0.3" footer="0.3"/>
  <pageSetup orientation="portrait" horizontalDpi="4294967293" verticalDpi="0" r:id="rId1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9299-BB09-42E7-AFB7-12DC625EC6F1}">
  <dimension ref="A2:T307"/>
  <sheetViews>
    <sheetView topLeftCell="J1" workbookViewId="0">
      <selection activeCell="O26" sqref="O26"/>
    </sheetView>
  </sheetViews>
  <sheetFormatPr defaultRowHeight="14.4"/>
  <cols>
    <col min="7" max="7" width="18.33203125" bestFit="1" customWidth="1"/>
    <col min="8" max="9" width="10" customWidth="1"/>
    <col min="10" max="10" width="10.6640625" customWidth="1"/>
    <col min="11" max="11" width="10" bestFit="1" customWidth="1"/>
    <col min="12" max="12" width="44.33203125" bestFit="1" customWidth="1"/>
    <col min="13" max="13" width="15.6640625" bestFit="1" customWidth="1"/>
    <col min="14" max="14" width="17.88671875" bestFit="1" customWidth="1"/>
    <col min="16" max="16" width="35.33203125" bestFit="1" customWidth="1"/>
    <col min="17" max="17" width="40.109375" customWidth="1"/>
    <col min="18" max="18" width="20.44140625" customWidth="1"/>
  </cols>
  <sheetData>
    <row r="2" spans="2:17">
      <c r="H2" t="s">
        <v>246</v>
      </c>
    </row>
    <row r="3" spans="2:17">
      <c r="B3" s="1" t="s">
        <v>0</v>
      </c>
      <c r="G3" s="1"/>
      <c r="H3" s="1"/>
      <c r="I3" s="1"/>
      <c r="N3" s="1" t="s">
        <v>169</v>
      </c>
    </row>
    <row r="4" spans="2:17">
      <c r="B4" s="1"/>
      <c r="G4" s="1"/>
      <c r="H4" s="1"/>
      <c r="I4" s="1"/>
      <c r="K4" s="20" t="s">
        <v>887</v>
      </c>
      <c r="L4" s="48"/>
      <c r="M4" s="48"/>
    </row>
    <row r="5" spans="2:17">
      <c r="K5" s="20" t="s">
        <v>731</v>
      </c>
      <c r="L5" s="48"/>
      <c r="M5" s="48"/>
    </row>
    <row r="6" spans="2:17" ht="15" thickBot="1">
      <c r="B6" s="1" t="s">
        <v>1</v>
      </c>
      <c r="G6" s="2" t="s">
        <v>18</v>
      </c>
      <c r="H6" s="1"/>
      <c r="I6" s="1"/>
      <c r="K6" s="20" t="s">
        <v>744</v>
      </c>
      <c r="L6" s="48"/>
      <c r="M6" s="1"/>
    </row>
    <row r="7" spans="2:17">
      <c r="Q7" s="373" t="s">
        <v>1021</v>
      </c>
    </row>
    <row r="8" spans="2:17" ht="15" thickBot="1">
      <c r="B8" s="1" t="s">
        <v>2</v>
      </c>
      <c r="G8" s="2" t="s">
        <v>19</v>
      </c>
      <c r="H8" s="1"/>
      <c r="I8" s="1"/>
      <c r="J8" s="48" t="s">
        <v>741</v>
      </c>
      <c r="K8" s="48"/>
      <c r="L8" s="48"/>
    </row>
    <row r="10" spans="2:17" ht="15" thickBot="1">
      <c r="B10" s="3" t="s">
        <v>3</v>
      </c>
      <c r="F10" s="1"/>
      <c r="G10" s="25">
        <v>76635</v>
      </c>
      <c r="H10" s="39"/>
      <c r="I10" s="39"/>
      <c r="J10" s="48">
        <f>91051+6273</f>
        <v>97324</v>
      </c>
      <c r="K10" s="313">
        <f>J10*1.049</f>
        <v>102092.87599999999</v>
      </c>
      <c r="L10" s="3" t="s">
        <v>4</v>
      </c>
      <c r="M10" s="76" t="s">
        <v>20</v>
      </c>
      <c r="N10" t="s">
        <v>5</v>
      </c>
      <c r="O10" s="48">
        <f>118346+6267</f>
        <v>124613</v>
      </c>
      <c r="P10" s="313">
        <f>O10*1.049</f>
        <v>130719.037</v>
      </c>
      <c r="Q10" s="370">
        <f>P10+8800</f>
        <v>139519.03700000001</v>
      </c>
    </row>
    <row r="11" spans="2:17">
      <c r="B11" s="4" t="s">
        <v>6</v>
      </c>
      <c r="K11" s="61"/>
      <c r="L11" s="4" t="s">
        <v>7</v>
      </c>
    </row>
    <row r="12" spans="2:17" ht="15" thickBot="1">
      <c r="B12" s="3" t="s">
        <v>8</v>
      </c>
      <c r="G12" s="25" t="s">
        <v>9</v>
      </c>
      <c r="H12" s="39"/>
      <c r="I12" s="39"/>
      <c r="K12" s="61"/>
      <c r="L12" s="3"/>
    </row>
    <row r="13" spans="2:17">
      <c r="B13" s="4" t="s">
        <v>10</v>
      </c>
      <c r="K13" s="61"/>
      <c r="L13" s="4"/>
    </row>
    <row r="14" spans="2:17" ht="15" thickBot="1">
      <c r="B14" s="3" t="s">
        <v>11</v>
      </c>
      <c r="G14" s="25">
        <v>79310</v>
      </c>
      <c r="H14" s="39"/>
      <c r="I14" s="39"/>
      <c r="J14" s="48">
        <f>93729+6716</f>
        <v>100445</v>
      </c>
      <c r="K14" s="313">
        <f>J14*1.049</f>
        <v>105366.80499999999</v>
      </c>
      <c r="L14" s="3" t="s">
        <v>12</v>
      </c>
      <c r="M14" s="25" t="s">
        <v>21</v>
      </c>
      <c r="N14" t="s">
        <v>5</v>
      </c>
      <c r="O14" s="48">
        <f>121235+6267</f>
        <v>127502</v>
      </c>
      <c r="P14" s="313">
        <f>O14*1.049</f>
        <v>133749.598</v>
      </c>
      <c r="Q14" s="370">
        <f>P14+8800</f>
        <v>142549.598</v>
      </c>
    </row>
    <row r="15" spans="2:17">
      <c r="B15" s="4" t="s">
        <v>7</v>
      </c>
      <c r="K15" s="61"/>
      <c r="L15" s="4" t="s">
        <v>13</v>
      </c>
    </row>
    <row r="16" spans="2:17" ht="15" thickBot="1">
      <c r="B16" s="3" t="s">
        <v>14</v>
      </c>
      <c r="G16" s="25">
        <v>81105</v>
      </c>
      <c r="H16" s="39"/>
      <c r="I16" s="39"/>
      <c r="J16" s="48">
        <f>94969+6267</f>
        <v>101236</v>
      </c>
      <c r="K16" s="313">
        <f>J16*1.049</f>
        <v>106196.564</v>
      </c>
    </row>
    <row r="17" spans="1:20">
      <c r="B17" s="4" t="s">
        <v>7</v>
      </c>
      <c r="K17" s="61"/>
    </row>
    <row r="18" spans="1:20" ht="15" thickBot="1">
      <c r="B18" s="3" t="s">
        <v>15</v>
      </c>
      <c r="G18" s="25">
        <v>104032</v>
      </c>
      <c r="H18" s="39"/>
      <c r="I18" s="39"/>
      <c r="J18" s="48">
        <f>118396+6267</f>
        <v>124663</v>
      </c>
      <c r="K18" s="313">
        <f>J18*1.049</f>
        <v>130771.48699999999</v>
      </c>
    </row>
    <row r="19" spans="1:20">
      <c r="B19" s="4" t="s">
        <v>7</v>
      </c>
      <c r="K19" s="61"/>
    </row>
    <row r="20" spans="1:20" ht="15" thickBot="1">
      <c r="B20" s="3" t="s">
        <v>16</v>
      </c>
      <c r="G20" s="25">
        <v>84050</v>
      </c>
      <c r="H20" s="39"/>
      <c r="I20" s="39"/>
      <c r="J20" s="48">
        <f>97914+6267</f>
        <v>104181</v>
      </c>
      <c r="K20" s="313">
        <f>J20*1.049</f>
        <v>109285.86899999999</v>
      </c>
    </row>
    <row r="21" spans="1:20">
      <c r="B21" s="4" t="s">
        <v>13</v>
      </c>
      <c r="K21" s="61"/>
    </row>
    <row r="22" spans="1:20" ht="15" thickBot="1">
      <c r="B22" s="3" t="s">
        <v>17</v>
      </c>
      <c r="G22" s="25">
        <v>106921</v>
      </c>
      <c r="H22" s="39"/>
      <c r="I22" s="39"/>
      <c r="J22" s="48">
        <f>121285+6267</f>
        <v>127552</v>
      </c>
      <c r="K22" s="313">
        <f>J22*1.049</f>
        <v>133802.04799999998</v>
      </c>
    </row>
    <row r="23" spans="1:20">
      <c r="B23" s="4" t="s">
        <v>13</v>
      </c>
    </row>
    <row r="24" spans="1:20">
      <c r="B24" s="4"/>
    </row>
    <row r="25" spans="1:20">
      <c r="B25" s="3" t="s">
        <v>22</v>
      </c>
    </row>
    <row r="26" spans="1:20" ht="15" thickBot="1">
      <c r="A26">
        <v>1</v>
      </c>
      <c r="B26" s="4" t="s">
        <v>23</v>
      </c>
      <c r="G26" s="73">
        <v>1150</v>
      </c>
      <c r="H26" s="190">
        <f>SUM(G26*1.16)</f>
        <v>1334</v>
      </c>
      <c r="I26" s="313">
        <f t="shared" ref="I26:I88" si="0">H26*1.049</f>
        <v>1399.366</v>
      </c>
      <c r="K26">
        <f>(A88+1)</f>
        <v>64</v>
      </c>
      <c r="L26" s="4" t="s">
        <v>24</v>
      </c>
      <c r="M26" s="73">
        <v>13799.999999999998</v>
      </c>
      <c r="N26" s="190">
        <f>SUM(M26*1.16)</f>
        <v>16007.999999999996</v>
      </c>
      <c r="O26" s="313">
        <f t="shared" ref="O26:O89" si="1">N26*1.049</f>
        <v>16792.391999999996</v>
      </c>
      <c r="P26">
        <v>138</v>
      </c>
      <c r="Q26" t="s">
        <v>25</v>
      </c>
      <c r="R26" s="192">
        <v>5200</v>
      </c>
      <c r="S26" s="20">
        <f>SUM(R26*1.18)</f>
        <v>6136</v>
      </c>
      <c r="T26" s="313"/>
    </row>
    <row r="27" spans="1:20" ht="15" thickBot="1">
      <c r="A27">
        <f>(A26+1)</f>
        <v>2</v>
      </c>
      <c r="B27" s="4" t="s">
        <v>26</v>
      </c>
      <c r="G27" s="73">
        <v>919.99999999999989</v>
      </c>
      <c r="H27" s="190">
        <f t="shared" ref="H27:H88" si="2">SUM(G27*1.16)</f>
        <v>1067.1999999999998</v>
      </c>
      <c r="I27" s="313">
        <f t="shared" si="0"/>
        <v>1119.4927999999998</v>
      </c>
      <c r="K27">
        <f t="shared" ref="K27:K58" si="3">(K26+1)</f>
        <v>65</v>
      </c>
      <c r="L27" t="s">
        <v>27</v>
      </c>
      <c r="M27" s="77" t="s">
        <v>32</v>
      </c>
      <c r="N27" s="191" t="s">
        <v>32</v>
      </c>
      <c r="O27" s="313"/>
      <c r="P27">
        <v>139</v>
      </c>
      <c r="Q27" t="s">
        <v>28</v>
      </c>
      <c r="R27" s="192">
        <v>6200</v>
      </c>
      <c r="S27" s="20">
        <f>SUM(R27*1.18)</f>
        <v>7316</v>
      </c>
      <c r="T27" s="313"/>
    </row>
    <row r="28" spans="1:20" ht="15" thickBot="1">
      <c r="A28">
        <f t="shared" ref="A28:A88" si="4">(A27+1)</f>
        <v>3</v>
      </c>
      <c r="B28" s="4" t="s">
        <v>29</v>
      </c>
      <c r="G28" s="73">
        <v>632.5</v>
      </c>
      <c r="H28" s="190">
        <f t="shared" si="2"/>
        <v>733.69999999999993</v>
      </c>
      <c r="I28" s="313">
        <f t="shared" si="0"/>
        <v>769.65129999999988</v>
      </c>
      <c r="K28">
        <f t="shared" si="3"/>
        <v>66</v>
      </c>
      <c r="L28" s="4" t="s">
        <v>30</v>
      </c>
      <c r="M28" s="78">
        <v>1092.5</v>
      </c>
      <c r="N28" s="190">
        <f t="shared" ref="N28:N89" si="5">SUM(M28*1.16)</f>
        <v>1267.3</v>
      </c>
      <c r="O28" s="313">
        <f t="shared" si="1"/>
        <v>1329.3976999999998</v>
      </c>
      <c r="P28">
        <v>140</v>
      </c>
      <c r="Q28" s="4" t="s">
        <v>31</v>
      </c>
      <c r="R28" t="s">
        <v>735</v>
      </c>
    </row>
    <row r="29" spans="1:20" ht="15" thickBot="1">
      <c r="A29">
        <f t="shared" si="4"/>
        <v>4</v>
      </c>
      <c r="B29" s="4" t="s">
        <v>34</v>
      </c>
      <c r="G29" s="73">
        <v>517.5</v>
      </c>
      <c r="H29" s="190">
        <f t="shared" si="2"/>
        <v>600.29999999999995</v>
      </c>
      <c r="I29" s="313">
        <f t="shared" si="0"/>
        <v>629.71469999999988</v>
      </c>
      <c r="K29">
        <f t="shared" si="3"/>
        <v>67</v>
      </c>
      <c r="L29" s="4" t="s">
        <v>35</v>
      </c>
      <c r="M29" s="77" t="s">
        <v>32</v>
      </c>
      <c r="N29" s="191" t="s">
        <v>32</v>
      </c>
      <c r="O29" s="313"/>
      <c r="P29">
        <v>141</v>
      </c>
      <c r="Q29" s="8" t="s">
        <v>36</v>
      </c>
      <c r="R29" t="s">
        <v>735</v>
      </c>
    </row>
    <row r="30" spans="1:20" ht="15" thickBot="1">
      <c r="A30">
        <f t="shared" si="4"/>
        <v>5</v>
      </c>
      <c r="B30" s="4" t="s">
        <v>37</v>
      </c>
      <c r="G30" s="73">
        <v>919.99999999999989</v>
      </c>
      <c r="H30" s="190">
        <f t="shared" si="2"/>
        <v>1067.1999999999998</v>
      </c>
      <c r="I30" s="313">
        <f t="shared" si="0"/>
        <v>1119.4927999999998</v>
      </c>
      <c r="K30">
        <f t="shared" si="3"/>
        <v>68</v>
      </c>
      <c r="L30" t="s">
        <v>38</v>
      </c>
      <c r="M30" s="78">
        <v>13799.999999999998</v>
      </c>
      <c r="N30" s="190">
        <f t="shared" si="5"/>
        <v>16007.999999999996</v>
      </c>
      <c r="O30" s="313">
        <f t="shared" si="1"/>
        <v>16792.391999999996</v>
      </c>
    </row>
    <row r="31" spans="1:20" ht="15" thickBot="1">
      <c r="A31">
        <f t="shared" si="4"/>
        <v>6</v>
      </c>
      <c r="B31" s="4" t="s">
        <v>39</v>
      </c>
      <c r="G31" s="73">
        <v>1201.75</v>
      </c>
      <c r="H31" s="190">
        <f t="shared" si="2"/>
        <v>1394.03</v>
      </c>
      <c r="I31" s="313">
        <f t="shared" si="0"/>
        <v>1462.3374699999999</v>
      </c>
      <c r="K31">
        <f t="shared" si="3"/>
        <v>69</v>
      </c>
      <c r="L31" s="4" t="s">
        <v>40</v>
      </c>
      <c r="M31" s="78">
        <v>5750</v>
      </c>
      <c r="N31" s="190">
        <f t="shared" si="5"/>
        <v>6669.9999999999991</v>
      </c>
      <c r="O31" s="313">
        <f t="shared" si="1"/>
        <v>6996.829999999999</v>
      </c>
    </row>
    <row r="32" spans="1:20" ht="15" thickBot="1">
      <c r="A32">
        <f t="shared" si="4"/>
        <v>7</v>
      </c>
      <c r="B32" s="4" t="s">
        <v>41</v>
      </c>
      <c r="G32" s="73">
        <v>1265</v>
      </c>
      <c r="H32" s="190">
        <f t="shared" si="2"/>
        <v>1467.3999999999999</v>
      </c>
      <c r="I32" s="313">
        <f t="shared" si="0"/>
        <v>1539.3025999999998</v>
      </c>
      <c r="K32">
        <f t="shared" si="3"/>
        <v>70</v>
      </c>
      <c r="L32" s="4" t="s">
        <v>42</v>
      </c>
      <c r="M32" s="77" t="s">
        <v>32</v>
      </c>
      <c r="N32" s="191" t="s">
        <v>32</v>
      </c>
      <c r="O32" s="313"/>
    </row>
    <row r="33" spans="1:15" ht="15" thickBot="1">
      <c r="A33">
        <f t="shared" si="4"/>
        <v>8</v>
      </c>
      <c r="B33" s="4" t="s">
        <v>43</v>
      </c>
      <c r="G33" s="73">
        <v>804.99999999999989</v>
      </c>
      <c r="H33" s="190">
        <f t="shared" si="2"/>
        <v>933.79999999999984</v>
      </c>
      <c r="I33" s="313">
        <f t="shared" si="0"/>
        <v>979.55619999999976</v>
      </c>
      <c r="K33">
        <f t="shared" si="3"/>
        <v>71</v>
      </c>
      <c r="L33" s="4" t="s">
        <v>44</v>
      </c>
      <c r="M33" s="78">
        <v>575</v>
      </c>
      <c r="N33" s="190">
        <f t="shared" si="5"/>
        <v>667</v>
      </c>
      <c r="O33" s="313">
        <f t="shared" si="1"/>
        <v>699.68299999999999</v>
      </c>
    </row>
    <row r="34" spans="1:15" ht="15" thickBot="1">
      <c r="A34">
        <f t="shared" si="4"/>
        <v>9</v>
      </c>
      <c r="B34" s="4" t="s">
        <v>45</v>
      </c>
      <c r="G34" s="73">
        <v>-150</v>
      </c>
      <c r="H34" s="190">
        <f t="shared" si="2"/>
        <v>-174</v>
      </c>
      <c r="I34" s="313">
        <f t="shared" si="0"/>
        <v>-182.52599999999998</v>
      </c>
      <c r="K34">
        <f t="shared" si="3"/>
        <v>72</v>
      </c>
      <c r="L34" s="4" t="s">
        <v>46</v>
      </c>
      <c r="M34" s="78">
        <v>575</v>
      </c>
      <c r="N34" s="190">
        <f t="shared" si="5"/>
        <v>667</v>
      </c>
      <c r="O34" s="313">
        <f t="shared" si="1"/>
        <v>699.68299999999999</v>
      </c>
    </row>
    <row r="35" spans="1:15" ht="15" thickBot="1">
      <c r="A35">
        <f t="shared" si="4"/>
        <v>10</v>
      </c>
      <c r="B35" s="4" t="s">
        <v>47</v>
      </c>
      <c r="G35" s="73">
        <v>575</v>
      </c>
      <c r="H35" s="190">
        <f t="shared" si="2"/>
        <v>667</v>
      </c>
      <c r="I35" s="313">
        <f t="shared" si="0"/>
        <v>699.68299999999999</v>
      </c>
      <c r="K35">
        <f t="shared" si="3"/>
        <v>73</v>
      </c>
      <c r="L35" s="4" t="s">
        <v>48</v>
      </c>
      <c r="M35" s="78">
        <v>977.49999999999989</v>
      </c>
      <c r="N35" s="190">
        <f t="shared" si="5"/>
        <v>1133.8999999999999</v>
      </c>
      <c r="O35" s="313">
        <f t="shared" si="1"/>
        <v>1189.4610999999998</v>
      </c>
    </row>
    <row r="36" spans="1:15" ht="15" thickBot="1">
      <c r="A36">
        <f t="shared" si="4"/>
        <v>11</v>
      </c>
      <c r="B36" t="s">
        <v>49</v>
      </c>
      <c r="G36" s="73">
        <v>575</v>
      </c>
      <c r="H36" s="190">
        <f t="shared" si="2"/>
        <v>667</v>
      </c>
      <c r="I36" s="313">
        <f t="shared" si="0"/>
        <v>699.68299999999999</v>
      </c>
      <c r="K36">
        <f t="shared" si="3"/>
        <v>74</v>
      </c>
      <c r="L36" s="4" t="s">
        <v>50</v>
      </c>
      <c r="M36" s="78">
        <v>517.5</v>
      </c>
      <c r="N36" s="190">
        <f t="shared" si="5"/>
        <v>600.29999999999995</v>
      </c>
      <c r="O36" s="313">
        <f t="shared" si="1"/>
        <v>629.71469999999988</v>
      </c>
    </row>
    <row r="37" spans="1:15" ht="15" thickBot="1">
      <c r="A37">
        <f t="shared" si="4"/>
        <v>12</v>
      </c>
      <c r="B37" s="4" t="s">
        <v>51</v>
      </c>
      <c r="E37" s="1"/>
      <c r="G37" s="73">
        <v>575</v>
      </c>
      <c r="H37" s="190">
        <f t="shared" si="2"/>
        <v>667</v>
      </c>
      <c r="I37" s="313">
        <f t="shared" si="0"/>
        <v>699.68299999999999</v>
      </c>
      <c r="K37">
        <f t="shared" si="3"/>
        <v>75</v>
      </c>
      <c r="L37" s="4" t="s">
        <v>52</v>
      </c>
      <c r="M37" s="78">
        <v>632.5</v>
      </c>
      <c r="N37" s="190">
        <f t="shared" si="5"/>
        <v>733.69999999999993</v>
      </c>
      <c r="O37" s="313">
        <f t="shared" si="1"/>
        <v>769.65129999999988</v>
      </c>
    </row>
    <row r="38" spans="1:15" ht="15" thickBot="1">
      <c r="A38">
        <f t="shared" si="4"/>
        <v>13</v>
      </c>
      <c r="B38" s="4" t="s">
        <v>53</v>
      </c>
      <c r="E38" s="1"/>
      <c r="G38" s="73">
        <v>-75</v>
      </c>
      <c r="H38" s="190">
        <f t="shared" si="2"/>
        <v>-87</v>
      </c>
      <c r="I38" s="313">
        <f t="shared" si="0"/>
        <v>-91.262999999999991</v>
      </c>
      <c r="K38">
        <f t="shared" si="3"/>
        <v>76</v>
      </c>
      <c r="L38" s="4" t="s">
        <v>54</v>
      </c>
      <c r="M38" s="78" t="s">
        <v>192</v>
      </c>
      <c r="N38" s="191" t="s">
        <v>57</v>
      </c>
      <c r="O38" s="313"/>
    </row>
    <row r="39" spans="1:15" ht="15" thickBot="1">
      <c r="A39">
        <f t="shared" si="4"/>
        <v>14</v>
      </c>
      <c r="B39" s="4" t="s">
        <v>55</v>
      </c>
      <c r="E39" s="1"/>
      <c r="G39" s="73">
        <v>488.74999999999994</v>
      </c>
      <c r="H39" s="190">
        <f t="shared" si="2"/>
        <v>566.94999999999993</v>
      </c>
      <c r="I39" s="313">
        <f t="shared" si="0"/>
        <v>594.73054999999988</v>
      </c>
      <c r="K39">
        <f t="shared" si="3"/>
        <v>77</v>
      </c>
      <c r="L39" s="4" t="s">
        <v>56</v>
      </c>
      <c r="M39" s="77" t="s">
        <v>57</v>
      </c>
      <c r="N39" s="191" t="s">
        <v>57</v>
      </c>
      <c r="O39" s="313"/>
    </row>
    <row r="40" spans="1:15" ht="15" thickBot="1">
      <c r="A40">
        <f t="shared" si="4"/>
        <v>15</v>
      </c>
      <c r="B40" s="4" t="s">
        <v>58</v>
      </c>
      <c r="G40" s="75" t="s">
        <v>32</v>
      </c>
      <c r="H40" s="191" t="s">
        <v>32</v>
      </c>
      <c r="I40" s="313"/>
      <c r="K40">
        <f t="shared" si="3"/>
        <v>78</v>
      </c>
      <c r="L40" s="4" t="s">
        <v>59</v>
      </c>
      <c r="M40" s="78">
        <v>690</v>
      </c>
      <c r="N40" s="190">
        <f t="shared" si="5"/>
        <v>800.4</v>
      </c>
      <c r="O40" s="313">
        <f t="shared" si="1"/>
        <v>839.61959999999988</v>
      </c>
    </row>
    <row r="41" spans="1:15" ht="15" thickBot="1">
      <c r="A41">
        <f t="shared" si="4"/>
        <v>16</v>
      </c>
      <c r="B41" s="4" t="s">
        <v>60</v>
      </c>
      <c r="G41" s="73">
        <v>94.3</v>
      </c>
      <c r="H41" s="190">
        <f t="shared" si="2"/>
        <v>109.38799999999999</v>
      </c>
      <c r="I41" s="313">
        <f t="shared" si="0"/>
        <v>114.74801199999999</v>
      </c>
      <c r="K41">
        <f t="shared" si="3"/>
        <v>79</v>
      </c>
      <c r="L41" s="4" t="s">
        <v>61</v>
      </c>
      <c r="M41" s="78">
        <v>2574</v>
      </c>
      <c r="N41" s="190">
        <f>SUM(M41*1.22)</f>
        <v>3140.2799999999997</v>
      </c>
      <c r="O41" s="313">
        <f t="shared" si="1"/>
        <v>3294.1537199999993</v>
      </c>
    </row>
    <row r="42" spans="1:15" ht="15" thickBot="1">
      <c r="A42">
        <f t="shared" si="4"/>
        <v>17</v>
      </c>
      <c r="B42" t="s">
        <v>62</v>
      </c>
      <c r="E42" s="1"/>
      <c r="G42" s="73">
        <v>86.25</v>
      </c>
      <c r="H42" s="190">
        <f t="shared" si="2"/>
        <v>100.05</v>
      </c>
      <c r="I42" s="313">
        <f t="shared" si="0"/>
        <v>104.95244999999998</v>
      </c>
      <c r="K42">
        <f t="shared" si="3"/>
        <v>80</v>
      </c>
      <c r="L42" s="4" t="s">
        <v>63</v>
      </c>
      <c r="M42" s="78">
        <v>2815</v>
      </c>
      <c r="N42" s="190">
        <f>SUM(M42*1.22)</f>
        <v>3434.2999999999997</v>
      </c>
      <c r="O42" s="313">
        <f t="shared" si="1"/>
        <v>3602.5806999999995</v>
      </c>
    </row>
    <row r="43" spans="1:15" ht="15" thickBot="1">
      <c r="A43">
        <f t="shared" si="4"/>
        <v>18</v>
      </c>
      <c r="B43" t="s">
        <v>64</v>
      </c>
      <c r="E43" s="1"/>
      <c r="G43" s="73">
        <v>57.499999999999993</v>
      </c>
      <c r="H43" s="190">
        <f t="shared" si="2"/>
        <v>66.699999999999989</v>
      </c>
      <c r="I43" s="313">
        <f t="shared" si="0"/>
        <v>69.968299999999985</v>
      </c>
      <c r="K43">
        <f t="shared" si="3"/>
        <v>81</v>
      </c>
      <c r="L43" s="4" t="s">
        <v>65</v>
      </c>
      <c r="M43" s="77" t="s">
        <v>489</v>
      </c>
      <c r="N43" s="191" t="s">
        <v>734</v>
      </c>
      <c r="O43" s="313" t="e">
        <f t="shared" si="1"/>
        <v>#VALUE!</v>
      </c>
    </row>
    <row r="44" spans="1:15" ht="15" thickBot="1">
      <c r="A44">
        <f t="shared" si="4"/>
        <v>19</v>
      </c>
      <c r="B44" t="s">
        <v>66</v>
      </c>
      <c r="E44" s="1"/>
      <c r="G44" s="73">
        <v>86.25</v>
      </c>
      <c r="H44" s="190">
        <f t="shared" si="2"/>
        <v>100.05</v>
      </c>
      <c r="I44" s="313">
        <f t="shared" si="0"/>
        <v>104.95244999999998</v>
      </c>
      <c r="K44">
        <f t="shared" si="3"/>
        <v>82</v>
      </c>
      <c r="L44" s="4" t="s">
        <v>67</v>
      </c>
      <c r="M44" s="78">
        <v>488.74999999999994</v>
      </c>
      <c r="N44" s="190">
        <f t="shared" si="5"/>
        <v>566.94999999999993</v>
      </c>
      <c r="O44" s="313">
        <f t="shared" si="1"/>
        <v>594.73054999999988</v>
      </c>
    </row>
    <row r="45" spans="1:15" ht="15" thickBot="1">
      <c r="A45">
        <f t="shared" si="4"/>
        <v>20</v>
      </c>
      <c r="B45" t="s">
        <v>68</v>
      </c>
      <c r="E45" s="1"/>
      <c r="G45" s="73">
        <v>172.5</v>
      </c>
      <c r="H45" s="190">
        <f t="shared" si="2"/>
        <v>200.1</v>
      </c>
      <c r="I45" s="313">
        <f t="shared" si="0"/>
        <v>209.90489999999997</v>
      </c>
      <c r="K45">
        <f t="shared" si="3"/>
        <v>83</v>
      </c>
      <c r="L45" s="4" t="s">
        <v>69</v>
      </c>
      <c r="M45" s="78">
        <v>-450</v>
      </c>
      <c r="N45" s="190">
        <f t="shared" si="5"/>
        <v>-522</v>
      </c>
      <c r="O45" s="313">
        <f t="shared" si="1"/>
        <v>-547.57799999999997</v>
      </c>
    </row>
    <row r="46" spans="1:15" ht="15" thickBot="1">
      <c r="A46">
        <f t="shared" si="4"/>
        <v>21</v>
      </c>
      <c r="B46" t="s">
        <v>70</v>
      </c>
      <c r="E46" s="1"/>
      <c r="G46" s="73">
        <v>57.499999999999993</v>
      </c>
      <c r="H46" s="190">
        <f t="shared" si="2"/>
        <v>66.699999999999989</v>
      </c>
      <c r="I46" s="313">
        <f t="shared" si="0"/>
        <v>69.968299999999985</v>
      </c>
      <c r="K46">
        <f t="shared" si="3"/>
        <v>84</v>
      </c>
      <c r="L46" s="4" t="s">
        <v>71</v>
      </c>
      <c r="M46" s="78">
        <v>550</v>
      </c>
      <c r="N46" s="190">
        <f t="shared" si="5"/>
        <v>638</v>
      </c>
      <c r="O46" s="313">
        <f t="shared" si="1"/>
        <v>669.26199999999994</v>
      </c>
    </row>
    <row r="47" spans="1:15" ht="15" thickBot="1">
      <c r="A47">
        <f t="shared" si="4"/>
        <v>22</v>
      </c>
      <c r="B47" t="s">
        <v>72</v>
      </c>
      <c r="E47" s="1"/>
      <c r="G47" s="73">
        <v>40.25</v>
      </c>
      <c r="H47" s="190">
        <f t="shared" si="2"/>
        <v>46.69</v>
      </c>
      <c r="I47" s="313">
        <f t="shared" si="0"/>
        <v>48.977809999999991</v>
      </c>
      <c r="K47">
        <f t="shared" si="3"/>
        <v>85</v>
      </c>
      <c r="L47" s="4" t="s">
        <v>73</v>
      </c>
      <c r="M47" s="78">
        <v>1494.9999999999998</v>
      </c>
      <c r="N47" s="190">
        <f t="shared" si="5"/>
        <v>1734.1999999999996</v>
      </c>
      <c r="O47" s="313">
        <f t="shared" si="1"/>
        <v>1819.1757999999995</v>
      </c>
    </row>
    <row r="48" spans="1:15" ht="15" thickBot="1">
      <c r="A48">
        <f t="shared" si="4"/>
        <v>23</v>
      </c>
      <c r="B48" t="s">
        <v>74</v>
      </c>
      <c r="E48" s="1"/>
      <c r="G48" s="73">
        <v>104</v>
      </c>
      <c r="H48" s="190">
        <f t="shared" si="2"/>
        <v>120.63999999999999</v>
      </c>
      <c r="I48" s="313">
        <f t="shared" si="0"/>
        <v>126.55135999999997</v>
      </c>
      <c r="K48">
        <f t="shared" si="3"/>
        <v>86</v>
      </c>
      <c r="L48" s="4" t="s">
        <v>75</v>
      </c>
      <c r="M48" s="78">
        <v>114.99999999999999</v>
      </c>
      <c r="N48" s="190">
        <f t="shared" si="5"/>
        <v>133.39999999999998</v>
      </c>
      <c r="O48" s="313">
        <f t="shared" si="1"/>
        <v>139.93659999999997</v>
      </c>
    </row>
    <row r="49" spans="1:18" ht="15" thickBot="1">
      <c r="A49">
        <f t="shared" si="4"/>
        <v>24</v>
      </c>
      <c r="B49" t="s">
        <v>76</v>
      </c>
      <c r="E49" s="1"/>
      <c r="G49" s="73">
        <v>632.5</v>
      </c>
      <c r="H49" s="190">
        <v>1954</v>
      </c>
      <c r="I49" s="313">
        <f t="shared" si="0"/>
        <v>2049.7460000000001</v>
      </c>
      <c r="K49">
        <f t="shared" si="3"/>
        <v>87</v>
      </c>
      <c r="L49" s="4" t="s">
        <v>78</v>
      </c>
      <c r="M49" s="78">
        <v>287.5</v>
      </c>
      <c r="N49" s="190">
        <f t="shared" si="5"/>
        <v>333.5</v>
      </c>
      <c r="O49" s="313">
        <f t="shared" si="1"/>
        <v>349.8415</v>
      </c>
    </row>
    <row r="50" spans="1:18" ht="15" thickBot="1">
      <c r="A50">
        <f t="shared" si="4"/>
        <v>25</v>
      </c>
      <c r="B50" s="4" t="s">
        <v>79</v>
      </c>
      <c r="E50" s="1"/>
      <c r="G50" s="73">
        <v>373.74999999999994</v>
      </c>
      <c r="H50" s="190">
        <f t="shared" si="2"/>
        <v>433.5499999999999</v>
      </c>
      <c r="I50" s="313">
        <f t="shared" si="0"/>
        <v>454.79394999999988</v>
      </c>
      <c r="K50">
        <f t="shared" si="3"/>
        <v>88</v>
      </c>
      <c r="L50" s="4" t="s">
        <v>80</v>
      </c>
      <c r="M50" s="78">
        <v>114.99999999999999</v>
      </c>
      <c r="N50" s="190">
        <f t="shared" si="5"/>
        <v>133.39999999999998</v>
      </c>
      <c r="O50" s="313">
        <f t="shared" si="1"/>
        <v>139.93659999999997</v>
      </c>
    </row>
    <row r="51" spans="1:18" ht="15" thickBot="1">
      <c r="A51">
        <f t="shared" si="4"/>
        <v>26</v>
      </c>
      <c r="B51" s="4" t="s">
        <v>81</v>
      </c>
      <c r="G51" s="73">
        <v>345</v>
      </c>
      <c r="H51" s="190">
        <f t="shared" si="2"/>
        <v>400.2</v>
      </c>
      <c r="I51" s="313">
        <f t="shared" si="0"/>
        <v>419.80979999999994</v>
      </c>
      <c r="K51">
        <f t="shared" si="3"/>
        <v>89</v>
      </c>
      <c r="L51" s="4" t="s">
        <v>82</v>
      </c>
      <c r="M51" s="78">
        <v>322</v>
      </c>
      <c r="N51" s="190">
        <f t="shared" si="5"/>
        <v>373.52</v>
      </c>
      <c r="O51" s="313">
        <f t="shared" si="1"/>
        <v>391.82247999999993</v>
      </c>
    </row>
    <row r="52" spans="1:18" ht="15" thickBot="1">
      <c r="A52">
        <f t="shared" si="4"/>
        <v>27</v>
      </c>
      <c r="B52" s="4" t="s">
        <v>83</v>
      </c>
      <c r="G52" s="73">
        <v>23</v>
      </c>
      <c r="H52" s="190">
        <f t="shared" si="2"/>
        <v>26.68</v>
      </c>
      <c r="I52" s="313">
        <f t="shared" si="0"/>
        <v>27.987319999999997</v>
      </c>
      <c r="K52">
        <f t="shared" si="3"/>
        <v>90</v>
      </c>
      <c r="L52" s="4" t="s">
        <v>84</v>
      </c>
      <c r="M52" s="77" t="s">
        <v>57</v>
      </c>
      <c r="N52" s="191" t="s">
        <v>57</v>
      </c>
      <c r="O52" s="313"/>
    </row>
    <row r="53" spans="1:18" ht="15" thickBot="1">
      <c r="A53">
        <f t="shared" si="4"/>
        <v>28</v>
      </c>
      <c r="B53" s="4" t="s">
        <v>85</v>
      </c>
      <c r="G53" s="73">
        <v>644</v>
      </c>
      <c r="H53" s="190">
        <f t="shared" si="2"/>
        <v>747.04</v>
      </c>
      <c r="I53" s="313">
        <f t="shared" si="0"/>
        <v>783.64495999999986</v>
      </c>
      <c r="K53">
        <f t="shared" si="3"/>
        <v>91</v>
      </c>
      <c r="L53" s="4" t="s">
        <v>86</v>
      </c>
      <c r="M53" s="77" t="s">
        <v>32</v>
      </c>
      <c r="N53" s="191" t="s">
        <v>32</v>
      </c>
      <c r="O53" s="313"/>
    </row>
    <row r="54" spans="1:18" ht="15" thickBot="1">
      <c r="A54">
        <f t="shared" si="4"/>
        <v>29</v>
      </c>
      <c r="B54" s="4" t="s">
        <v>87</v>
      </c>
      <c r="G54" s="73">
        <v>690</v>
      </c>
      <c r="H54" s="190">
        <f t="shared" si="2"/>
        <v>800.4</v>
      </c>
      <c r="I54" s="313">
        <f t="shared" si="0"/>
        <v>839.61959999999988</v>
      </c>
      <c r="K54">
        <f t="shared" si="3"/>
        <v>92</v>
      </c>
      <c r="L54" s="4" t="s">
        <v>88</v>
      </c>
      <c r="M54" s="78">
        <v>57.499999999999993</v>
      </c>
      <c r="N54" s="190">
        <f t="shared" si="5"/>
        <v>66.699999999999989</v>
      </c>
      <c r="O54" s="313">
        <f t="shared" si="1"/>
        <v>69.968299999999985</v>
      </c>
    </row>
    <row r="55" spans="1:18" ht="15" thickBot="1">
      <c r="A55">
        <f t="shared" si="4"/>
        <v>30</v>
      </c>
      <c r="B55" s="4" t="s">
        <v>89</v>
      </c>
      <c r="G55" s="73">
        <v>862.49999999999989</v>
      </c>
      <c r="H55" s="190">
        <f t="shared" si="2"/>
        <v>1000.4999999999998</v>
      </c>
      <c r="I55" s="313">
        <f t="shared" si="0"/>
        <v>1049.5244999999998</v>
      </c>
      <c r="K55">
        <f t="shared" si="3"/>
        <v>93</v>
      </c>
      <c r="L55" t="s">
        <v>90</v>
      </c>
      <c r="M55" s="77" t="s">
        <v>57</v>
      </c>
      <c r="N55" s="191" t="s">
        <v>57</v>
      </c>
      <c r="O55" s="313"/>
    </row>
    <row r="56" spans="1:18" ht="15" thickBot="1">
      <c r="A56">
        <f t="shared" si="4"/>
        <v>31</v>
      </c>
      <c r="B56" t="s">
        <v>91</v>
      </c>
      <c r="G56" s="73">
        <v>-95</v>
      </c>
      <c r="H56" s="190">
        <f t="shared" si="2"/>
        <v>-110.19999999999999</v>
      </c>
      <c r="I56" s="313">
        <f t="shared" si="0"/>
        <v>-115.59979999999999</v>
      </c>
      <c r="K56">
        <f t="shared" si="3"/>
        <v>94</v>
      </c>
      <c r="L56" s="4" t="s">
        <v>92</v>
      </c>
      <c r="M56" s="78">
        <v>1075.25</v>
      </c>
      <c r="N56" s="190">
        <f t="shared" si="5"/>
        <v>1247.29</v>
      </c>
      <c r="O56" s="313">
        <f t="shared" si="1"/>
        <v>1308.4072099999998</v>
      </c>
    </row>
    <row r="57" spans="1:18" ht="15" thickBot="1">
      <c r="A57">
        <f t="shared" si="4"/>
        <v>32</v>
      </c>
      <c r="B57" t="s">
        <v>93</v>
      </c>
      <c r="G57" s="73">
        <v>-95</v>
      </c>
      <c r="H57" s="190">
        <f t="shared" si="2"/>
        <v>-110.19999999999999</v>
      </c>
      <c r="I57" s="313">
        <f t="shared" si="0"/>
        <v>-115.59979999999999</v>
      </c>
      <c r="K57">
        <f t="shared" si="3"/>
        <v>95</v>
      </c>
      <c r="L57" t="s">
        <v>94</v>
      </c>
      <c r="M57" s="78">
        <v>229.99999999999997</v>
      </c>
      <c r="N57" s="190">
        <f t="shared" si="5"/>
        <v>266.79999999999995</v>
      </c>
      <c r="O57" s="313">
        <f t="shared" si="1"/>
        <v>279.87319999999994</v>
      </c>
    </row>
    <row r="58" spans="1:18" ht="15" thickBot="1">
      <c r="A58">
        <f t="shared" si="4"/>
        <v>33</v>
      </c>
      <c r="B58" t="s">
        <v>95</v>
      </c>
      <c r="G58" s="75" t="s">
        <v>32</v>
      </c>
      <c r="H58" s="191" t="s">
        <v>32</v>
      </c>
      <c r="I58" s="313"/>
      <c r="K58">
        <f t="shared" si="3"/>
        <v>96</v>
      </c>
      <c r="L58" t="s">
        <v>96</v>
      </c>
      <c r="M58" s="78">
        <v>4533</v>
      </c>
      <c r="N58" s="190">
        <f t="shared" si="5"/>
        <v>5258.28</v>
      </c>
      <c r="O58" s="313">
        <f t="shared" si="1"/>
        <v>5515.9357199999995</v>
      </c>
    </row>
    <row r="59" spans="1:18" ht="15" thickBot="1">
      <c r="A59">
        <f t="shared" si="4"/>
        <v>34</v>
      </c>
      <c r="B59" t="s">
        <v>97</v>
      </c>
      <c r="G59" s="75" t="s">
        <v>32</v>
      </c>
      <c r="H59" s="191" t="s">
        <v>32</v>
      </c>
      <c r="I59" s="313"/>
      <c r="K59">
        <f t="shared" ref="K59:K95" si="6">(K58+1)</f>
        <v>97</v>
      </c>
      <c r="L59" t="s">
        <v>98</v>
      </c>
      <c r="M59" s="78">
        <v>2438</v>
      </c>
      <c r="N59" s="190">
        <f>SUM(M59*1.18)</f>
        <v>2876.8399999999997</v>
      </c>
      <c r="O59" s="313">
        <f t="shared" si="1"/>
        <v>3017.8051599999994</v>
      </c>
    </row>
    <row r="60" spans="1:18" ht="15" thickBot="1">
      <c r="A60">
        <f t="shared" si="4"/>
        <v>35</v>
      </c>
      <c r="B60" t="s">
        <v>99</v>
      </c>
      <c r="G60" s="75" t="s">
        <v>32</v>
      </c>
      <c r="H60" s="191" t="s">
        <v>32</v>
      </c>
      <c r="I60" s="313"/>
      <c r="K60">
        <f t="shared" si="6"/>
        <v>98</v>
      </c>
      <c r="L60" s="4" t="s">
        <v>100</v>
      </c>
      <c r="M60" s="78">
        <v>3110</v>
      </c>
      <c r="N60" s="190">
        <f t="shared" si="5"/>
        <v>3607.6</v>
      </c>
      <c r="O60" s="313">
        <f t="shared" si="1"/>
        <v>3784.3723999999997</v>
      </c>
    </row>
    <row r="61" spans="1:18" ht="15" thickBot="1">
      <c r="A61">
        <f t="shared" si="4"/>
        <v>36</v>
      </c>
      <c r="B61" t="s">
        <v>101</v>
      </c>
      <c r="G61" s="75" t="s">
        <v>32</v>
      </c>
      <c r="H61" s="191" t="s">
        <v>32</v>
      </c>
      <c r="I61" s="313"/>
      <c r="K61">
        <f t="shared" si="6"/>
        <v>99</v>
      </c>
      <c r="L61" s="4" t="s">
        <v>102</v>
      </c>
      <c r="M61" s="78">
        <v>6831</v>
      </c>
      <c r="N61" s="190">
        <f t="shared" si="5"/>
        <v>7923.9599999999991</v>
      </c>
      <c r="O61" s="313">
        <f t="shared" si="1"/>
        <v>8312.2340399999994</v>
      </c>
      <c r="R61" s="4"/>
    </row>
    <row r="62" spans="1:18" ht="15" thickBot="1">
      <c r="A62">
        <f t="shared" si="4"/>
        <v>37</v>
      </c>
      <c r="B62" t="s">
        <v>103</v>
      </c>
      <c r="G62" s="73">
        <v>46</v>
      </c>
      <c r="H62" s="190">
        <f t="shared" si="2"/>
        <v>53.36</v>
      </c>
      <c r="I62" s="313">
        <f t="shared" si="0"/>
        <v>55.974639999999994</v>
      </c>
      <c r="K62">
        <f t="shared" si="6"/>
        <v>100</v>
      </c>
      <c r="L62" s="4" t="s">
        <v>104</v>
      </c>
      <c r="M62" s="78">
        <v>8280</v>
      </c>
      <c r="N62" s="190">
        <f t="shared" si="5"/>
        <v>9604.7999999999993</v>
      </c>
      <c r="O62" s="313">
        <f t="shared" si="1"/>
        <v>10075.435199999998</v>
      </c>
      <c r="R62" s="4"/>
    </row>
    <row r="63" spans="1:18" ht="15" thickBot="1">
      <c r="A63">
        <f t="shared" si="4"/>
        <v>38</v>
      </c>
      <c r="B63" t="s">
        <v>105</v>
      </c>
      <c r="G63" s="73">
        <v>46</v>
      </c>
      <c r="H63" s="190">
        <f t="shared" si="2"/>
        <v>53.36</v>
      </c>
      <c r="I63" s="313">
        <f t="shared" si="0"/>
        <v>55.974639999999994</v>
      </c>
      <c r="K63">
        <f t="shared" si="6"/>
        <v>101</v>
      </c>
      <c r="L63" t="s">
        <v>106</v>
      </c>
      <c r="M63" s="79">
        <v>5815</v>
      </c>
      <c r="N63" s="190">
        <f t="shared" si="5"/>
        <v>6745.4</v>
      </c>
      <c r="O63" s="313">
        <f t="shared" si="1"/>
        <v>7075.9245999999994</v>
      </c>
      <c r="R63" s="4"/>
    </row>
    <row r="64" spans="1:18" ht="15" thickBot="1">
      <c r="A64">
        <f t="shared" si="4"/>
        <v>39</v>
      </c>
      <c r="B64" t="s">
        <v>107</v>
      </c>
      <c r="G64" s="73">
        <v>-40</v>
      </c>
      <c r="H64" s="190">
        <f t="shared" si="2"/>
        <v>-46.4</v>
      </c>
      <c r="I64" s="313">
        <f t="shared" si="0"/>
        <v>-48.673599999999993</v>
      </c>
      <c r="K64">
        <f t="shared" si="6"/>
        <v>102</v>
      </c>
      <c r="L64" s="4" t="s">
        <v>108</v>
      </c>
      <c r="M64" s="79">
        <v>488.74999999999994</v>
      </c>
      <c r="N64" s="190">
        <f t="shared" si="5"/>
        <v>566.94999999999993</v>
      </c>
      <c r="O64" s="313">
        <f t="shared" si="1"/>
        <v>594.73054999999988</v>
      </c>
      <c r="R64" s="4"/>
    </row>
    <row r="65" spans="1:18" ht="15" thickBot="1">
      <c r="A65">
        <f t="shared" si="4"/>
        <v>40</v>
      </c>
      <c r="B65" t="s">
        <v>109</v>
      </c>
      <c r="G65" s="73">
        <v>2875</v>
      </c>
      <c r="H65" s="190">
        <f t="shared" si="2"/>
        <v>3334.9999999999995</v>
      </c>
      <c r="I65" s="313">
        <f t="shared" si="0"/>
        <v>3498.4149999999995</v>
      </c>
      <c r="K65">
        <f t="shared" si="6"/>
        <v>103</v>
      </c>
      <c r="L65" s="4" t="s">
        <v>110</v>
      </c>
      <c r="M65" s="79">
        <v>477.24999999999994</v>
      </c>
      <c r="N65" s="190">
        <f t="shared" si="5"/>
        <v>553.6099999999999</v>
      </c>
      <c r="O65" s="313">
        <f t="shared" si="1"/>
        <v>580.7368899999999</v>
      </c>
      <c r="R65" s="4"/>
    </row>
    <row r="66" spans="1:18" ht="15" thickBot="1">
      <c r="A66">
        <f t="shared" si="4"/>
        <v>41</v>
      </c>
      <c r="B66" t="s">
        <v>111</v>
      </c>
      <c r="G66" s="75" t="s">
        <v>32</v>
      </c>
      <c r="H66" s="191" t="s">
        <v>32</v>
      </c>
      <c r="I66" s="313"/>
      <c r="K66">
        <f t="shared" si="6"/>
        <v>104</v>
      </c>
      <c r="L66" s="4" t="s">
        <v>112</v>
      </c>
      <c r="M66" s="78">
        <v>287.5</v>
      </c>
      <c r="N66" s="190">
        <f t="shared" si="5"/>
        <v>333.5</v>
      </c>
      <c r="O66" s="313">
        <f t="shared" si="1"/>
        <v>349.8415</v>
      </c>
      <c r="R66" s="4"/>
    </row>
    <row r="67" spans="1:18" ht="15" thickBot="1">
      <c r="A67">
        <f t="shared" si="4"/>
        <v>42</v>
      </c>
      <c r="B67" s="4" t="s">
        <v>113</v>
      </c>
      <c r="G67" s="73">
        <v>300</v>
      </c>
      <c r="H67" s="190">
        <f t="shared" si="2"/>
        <v>348</v>
      </c>
      <c r="I67" s="313">
        <f t="shared" si="0"/>
        <v>365.05199999999996</v>
      </c>
      <c r="K67">
        <f t="shared" si="6"/>
        <v>105</v>
      </c>
      <c r="L67" t="s">
        <v>114</v>
      </c>
      <c r="M67" s="78">
        <v>3619</v>
      </c>
      <c r="N67" s="190">
        <f>SUM(M67*1.18)</f>
        <v>4270.42</v>
      </c>
      <c r="O67" s="313">
        <f t="shared" si="1"/>
        <v>4479.67058</v>
      </c>
      <c r="R67" s="4"/>
    </row>
    <row r="68" spans="1:18" ht="15" thickBot="1">
      <c r="A68">
        <f t="shared" si="4"/>
        <v>43</v>
      </c>
      <c r="B68" s="4" t="s">
        <v>115</v>
      </c>
      <c r="G68" s="73">
        <v>-75</v>
      </c>
      <c r="H68" s="190">
        <f t="shared" si="2"/>
        <v>-87</v>
      </c>
      <c r="I68" s="313">
        <f t="shared" si="0"/>
        <v>-91.262999999999991</v>
      </c>
      <c r="K68">
        <f t="shared" si="6"/>
        <v>106</v>
      </c>
      <c r="L68" t="s">
        <v>116</v>
      </c>
      <c r="M68" s="78">
        <v>4896</v>
      </c>
      <c r="N68" s="190">
        <f t="shared" ref="N68:N74" si="7">SUM(M68*1.18)</f>
        <v>5777.28</v>
      </c>
      <c r="O68" s="313">
        <f t="shared" si="1"/>
        <v>6060.3667199999991</v>
      </c>
      <c r="R68" s="4"/>
    </row>
    <row r="69" spans="1:18" ht="15" thickBot="1">
      <c r="A69">
        <f t="shared" si="4"/>
        <v>44</v>
      </c>
      <c r="B69" s="4" t="s">
        <v>117</v>
      </c>
      <c r="G69" s="73">
        <v>448.49999999999994</v>
      </c>
      <c r="H69" s="190">
        <f t="shared" si="2"/>
        <v>520.25999999999988</v>
      </c>
      <c r="I69" s="313">
        <f t="shared" si="0"/>
        <v>545.75273999999979</v>
      </c>
      <c r="K69">
        <f t="shared" si="6"/>
        <v>107</v>
      </c>
      <c r="L69" t="s">
        <v>118</v>
      </c>
      <c r="M69" s="78">
        <v>6310</v>
      </c>
      <c r="N69" s="190">
        <f t="shared" si="7"/>
        <v>7445.7999999999993</v>
      </c>
      <c r="O69" s="313">
        <f t="shared" si="1"/>
        <v>7810.6441999999988</v>
      </c>
      <c r="R69" s="4"/>
    </row>
    <row r="70" spans="1:18" ht="15" thickBot="1">
      <c r="A70">
        <f t="shared" si="4"/>
        <v>45</v>
      </c>
      <c r="B70" t="s">
        <v>119</v>
      </c>
      <c r="G70" s="73">
        <v>229.99999999999997</v>
      </c>
      <c r="H70" s="190">
        <f t="shared" si="2"/>
        <v>266.79999999999995</v>
      </c>
      <c r="I70" s="313">
        <f t="shared" si="0"/>
        <v>279.87319999999994</v>
      </c>
      <c r="K70">
        <f t="shared" si="6"/>
        <v>108</v>
      </c>
      <c r="L70" t="s">
        <v>120</v>
      </c>
      <c r="M70" s="78">
        <v>3097.5</v>
      </c>
      <c r="N70" s="190">
        <f t="shared" si="7"/>
        <v>3655.0499999999997</v>
      </c>
      <c r="O70" s="313">
        <f t="shared" si="1"/>
        <v>3834.1474499999995</v>
      </c>
      <c r="R70" s="4"/>
    </row>
    <row r="71" spans="1:18" ht="15" thickBot="1">
      <c r="A71">
        <f t="shared" si="4"/>
        <v>46</v>
      </c>
      <c r="B71" t="s">
        <v>121</v>
      </c>
      <c r="G71" s="73">
        <v>17.25</v>
      </c>
      <c r="H71" s="190">
        <f t="shared" si="2"/>
        <v>20.009999999999998</v>
      </c>
      <c r="I71" s="313">
        <f t="shared" si="0"/>
        <v>20.990489999999998</v>
      </c>
      <c r="K71">
        <f t="shared" si="6"/>
        <v>109</v>
      </c>
      <c r="L71" t="s">
        <v>122</v>
      </c>
      <c r="M71" s="78">
        <v>1663.75</v>
      </c>
      <c r="N71" s="190">
        <f t="shared" si="7"/>
        <v>1963.2249999999999</v>
      </c>
      <c r="O71" s="313">
        <f t="shared" si="1"/>
        <v>2059.4230249999996</v>
      </c>
      <c r="R71" s="4"/>
    </row>
    <row r="72" spans="1:18" ht="15" thickBot="1">
      <c r="A72">
        <f t="shared" si="4"/>
        <v>47</v>
      </c>
      <c r="B72" t="s">
        <v>123</v>
      </c>
      <c r="G72" s="73">
        <v>287.5</v>
      </c>
      <c r="H72" s="190">
        <f t="shared" si="2"/>
        <v>333.5</v>
      </c>
      <c r="I72" s="313">
        <f t="shared" si="0"/>
        <v>349.8415</v>
      </c>
      <c r="K72">
        <f t="shared" si="6"/>
        <v>110</v>
      </c>
      <c r="L72" t="s">
        <v>124</v>
      </c>
      <c r="M72" s="78">
        <v>3275</v>
      </c>
      <c r="N72" s="190">
        <f t="shared" si="7"/>
        <v>3864.5</v>
      </c>
      <c r="O72" s="313">
        <f t="shared" si="1"/>
        <v>4053.8604999999998</v>
      </c>
      <c r="R72" s="4"/>
    </row>
    <row r="73" spans="1:18" ht="15" thickBot="1">
      <c r="A73">
        <f t="shared" si="4"/>
        <v>48</v>
      </c>
      <c r="B73" t="s">
        <v>125</v>
      </c>
      <c r="G73" s="73">
        <v>575</v>
      </c>
      <c r="H73" s="190">
        <f t="shared" si="2"/>
        <v>667</v>
      </c>
      <c r="I73" s="313">
        <f t="shared" si="0"/>
        <v>699.68299999999999</v>
      </c>
      <c r="K73">
        <f t="shared" si="6"/>
        <v>111</v>
      </c>
      <c r="L73" t="s">
        <v>126</v>
      </c>
      <c r="M73" s="78">
        <v>4195</v>
      </c>
      <c r="N73" s="190">
        <f t="shared" si="7"/>
        <v>4950.0999999999995</v>
      </c>
      <c r="O73" s="313">
        <f t="shared" si="1"/>
        <v>5192.6548999999995</v>
      </c>
      <c r="R73" s="4"/>
    </row>
    <row r="74" spans="1:18" ht="15" thickBot="1">
      <c r="A74">
        <f t="shared" si="4"/>
        <v>49</v>
      </c>
      <c r="B74" t="s">
        <v>127</v>
      </c>
      <c r="G74" s="75" t="s">
        <v>32</v>
      </c>
      <c r="H74" s="191" t="s">
        <v>32</v>
      </c>
      <c r="I74" s="313"/>
      <c r="K74">
        <f t="shared" si="6"/>
        <v>112</v>
      </c>
      <c r="L74" t="s">
        <v>128</v>
      </c>
      <c r="M74" s="78">
        <v>4595</v>
      </c>
      <c r="N74" s="190">
        <f t="shared" si="7"/>
        <v>5422.0999999999995</v>
      </c>
      <c r="O74" s="313">
        <f t="shared" si="1"/>
        <v>5687.7828999999992</v>
      </c>
      <c r="R74" s="4"/>
    </row>
    <row r="75" spans="1:18" ht="15" thickBot="1">
      <c r="A75">
        <f t="shared" si="4"/>
        <v>50</v>
      </c>
      <c r="B75" s="4" t="s">
        <v>129</v>
      </c>
      <c r="G75" s="75" t="s">
        <v>32</v>
      </c>
      <c r="H75" s="191" t="s">
        <v>32</v>
      </c>
      <c r="I75" s="313"/>
      <c r="K75">
        <f t="shared" si="6"/>
        <v>113</v>
      </c>
      <c r="L75" s="4" t="s">
        <v>130</v>
      </c>
      <c r="M75" s="78">
        <v>4830</v>
      </c>
      <c r="N75" s="190">
        <f t="shared" si="5"/>
        <v>5602.7999999999993</v>
      </c>
      <c r="O75" s="313">
        <f t="shared" si="1"/>
        <v>5877.337199999999</v>
      </c>
      <c r="R75" s="4"/>
    </row>
    <row r="76" spans="1:18" ht="15" thickBot="1">
      <c r="A76">
        <f t="shared" si="4"/>
        <v>51</v>
      </c>
      <c r="B76" s="4" t="s">
        <v>131</v>
      </c>
      <c r="G76" s="75" t="s">
        <v>32</v>
      </c>
      <c r="H76" s="191" t="s">
        <v>32</v>
      </c>
      <c r="I76" s="313"/>
      <c r="K76">
        <f t="shared" si="6"/>
        <v>114</v>
      </c>
      <c r="L76" s="4" t="s">
        <v>132</v>
      </c>
      <c r="M76" s="78">
        <v>3909.9999999999995</v>
      </c>
      <c r="N76" s="190">
        <f t="shared" si="5"/>
        <v>4535.5999999999995</v>
      </c>
      <c r="O76" s="313">
        <f t="shared" si="1"/>
        <v>4757.844399999999</v>
      </c>
      <c r="R76" s="4"/>
    </row>
    <row r="77" spans="1:18" ht="15" thickBot="1">
      <c r="A77">
        <f t="shared" si="4"/>
        <v>52</v>
      </c>
      <c r="B77" s="4" t="s">
        <v>133</v>
      </c>
      <c r="G77" s="75" t="s">
        <v>32</v>
      </c>
      <c r="H77" s="191" t="s">
        <v>32</v>
      </c>
      <c r="I77" s="313"/>
      <c r="K77">
        <f t="shared" si="6"/>
        <v>115</v>
      </c>
      <c r="L77" s="4" t="s">
        <v>134</v>
      </c>
      <c r="M77" s="78">
        <v>1150</v>
      </c>
      <c r="N77" s="190">
        <f t="shared" si="5"/>
        <v>1334</v>
      </c>
      <c r="O77" s="313">
        <f t="shared" si="1"/>
        <v>1399.366</v>
      </c>
      <c r="R77" s="4"/>
    </row>
    <row r="78" spans="1:18" ht="15" thickBot="1">
      <c r="A78">
        <f t="shared" si="4"/>
        <v>53</v>
      </c>
      <c r="B78" s="4" t="s">
        <v>135</v>
      </c>
      <c r="G78" s="75" t="s">
        <v>32</v>
      </c>
      <c r="H78" s="191" t="s">
        <v>32</v>
      </c>
      <c r="I78" s="313"/>
      <c r="K78">
        <f t="shared" si="6"/>
        <v>116</v>
      </c>
      <c r="L78" s="4" t="s">
        <v>136</v>
      </c>
      <c r="M78" s="78">
        <v>900</v>
      </c>
      <c r="N78" s="190">
        <f t="shared" si="5"/>
        <v>1044</v>
      </c>
      <c r="O78" s="313">
        <f t="shared" si="1"/>
        <v>1095.1559999999999</v>
      </c>
      <c r="R78" s="4"/>
    </row>
    <row r="79" spans="1:18" ht="15" thickBot="1">
      <c r="A79">
        <f t="shared" si="4"/>
        <v>54</v>
      </c>
      <c r="B79" s="4" t="s">
        <v>137</v>
      </c>
      <c r="G79" s="75" t="s">
        <v>32</v>
      </c>
      <c r="H79" s="191" t="s">
        <v>32</v>
      </c>
      <c r="I79" s="313"/>
      <c r="K79">
        <f t="shared" si="6"/>
        <v>117</v>
      </c>
      <c r="L79" t="s">
        <v>138</v>
      </c>
      <c r="M79" s="78">
        <v>5060</v>
      </c>
      <c r="N79" s="190">
        <f t="shared" si="5"/>
        <v>5869.5999999999995</v>
      </c>
      <c r="O79" s="313">
        <f t="shared" si="1"/>
        <v>6157.210399999999</v>
      </c>
      <c r="R79" s="4"/>
    </row>
    <row r="80" spans="1:18" ht="15" thickBot="1">
      <c r="A80">
        <f t="shared" si="4"/>
        <v>55</v>
      </c>
      <c r="B80" s="4" t="s">
        <v>139</v>
      </c>
      <c r="G80" s="73">
        <v>3449.9999999999995</v>
      </c>
      <c r="H80" s="190">
        <f t="shared" si="2"/>
        <v>4001.9999999999991</v>
      </c>
      <c r="I80" s="313">
        <f t="shared" si="0"/>
        <v>4198.097999999999</v>
      </c>
      <c r="K80">
        <f t="shared" si="6"/>
        <v>118</v>
      </c>
      <c r="L80" t="s">
        <v>140</v>
      </c>
      <c r="M80" s="78">
        <v>1150</v>
      </c>
      <c r="N80" s="190">
        <f t="shared" si="5"/>
        <v>1334</v>
      </c>
      <c r="O80" s="313">
        <f t="shared" si="1"/>
        <v>1399.366</v>
      </c>
      <c r="R80" s="4"/>
    </row>
    <row r="81" spans="1:19" ht="15" thickBot="1">
      <c r="A81">
        <f t="shared" si="4"/>
        <v>56</v>
      </c>
      <c r="B81" s="4" t="s">
        <v>141</v>
      </c>
      <c r="G81" s="73">
        <v>5750</v>
      </c>
      <c r="H81" s="190">
        <f t="shared" si="2"/>
        <v>6669.9999999999991</v>
      </c>
      <c r="I81" s="313">
        <f t="shared" si="0"/>
        <v>6996.829999999999</v>
      </c>
      <c r="K81">
        <f t="shared" si="6"/>
        <v>119</v>
      </c>
      <c r="L81" t="s">
        <v>142</v>
      </c>
      <c r="M81" s="78">
        <v>11844.999999999998</v>
      </c>
      <c r="N81" s="190">
        <f t="shared" si="5"/>
        <v>13740.199999999997</v>
      </c>
      <c r="O81" s="313">
        <f t="shared" si="1"/>
        <v>14413.469799999995</v>
      </c>
      <c r="R81" s="4"/>
    </row>
    <row r="82" spans="1:19" ht="15" thickBot="1">
      <c r="A82">
        <f t="shared" si="4"/>
        <v>57</v>
      </c>
      <c r="B82" s="4" t="s">
        <v>143</v>
      </c>
      <c r="G82" s="73">
        <v>5750</v>
      </c>
      <c r="H82" s="190">
        <f t="shared" si="2"/>
        <v>6669.9999999999991</v>
      </c>
      <c r="I82" s="313">
        <f t="shared" si="0"/>
        <v>6996.829999999999</v>
      </c>
      <c r="K82">
        <f t="shared" si="6"/>
        <v>120</v>
      </c>
      <c r="L82" s="4" t="s">
        <v>144</v>
      </c>
      <c r="M82" s="78">
        <v>4024.9999999999995</v>
      </c>
      <c r="N82" s="190">
        <f t="shared" si="5"/>
        <v>4668.9999999999991</v>
      </c>
      <c r="O82" s="313">
        <f t="shared" si="1"/>
        <v>4897.780999999999</v>
      </c>
      <c r="R82" s="4"/>
    </row>
    <row r="83" spans="1:19" ht="15" thickBot="1">
      <c r="A83">
        <f t="shared" si="4"/>
        <v>58</v>
      </c>
      <c r="B83" s="4" t="s">
        <v>145</v>
      </c>
      <c r="G83" s="73">
        <v>2875</v>
      </c>
      <c r="H83" s="190">
        <f t="shared" si="2"/>
        <v>3334.9999999999995</v>
      </c>
      <c r="I83" s="313">
        <f t="shared" si="0"/>
        <v>3498.4149999999995</v>
      </c>
      <c r="K83">
        <f t="shared" si="6"/>
        <v>121</v>
      </c>
      <c r="L83" s="12" t="s">
        <v>146</v>
      </c>
      <c r="M83" s="80">
        <v>4024.9999999999995</v>
      </c>
      <c r="N83" s="190">
        <f t="shared" si="5"/>
        <v>4668.9999999999991</v>
      </c>
      <c r="O83" s="313">
        <f t="shared" si="1"/>
        <v>4897.780999999999</v>
      </c>
      <c r="R83" s="4"/>
      <c r="S83" s="4"/>
    </row>
    <row r="84" spans="1:19" ht="15" thickBot="1">
      <c r="A84">
        <f t="shared" si="4"/>
        <v>59</v>
      </c>
      <c r="B84" s="4" t="s">
        <v>147</v>
      </c>
      <c r="G84" s="73">
        <v>6899.9999999999991</v>
      </c>
      <c r="H84" s="190">
        <f t="shared" si="2"/>
        <v>8003.9999999999982</v>
      </c>
      <c r="I84" s="313">
        <f t="shared" si="0"/>
        <v>8396.1959999999981</v>
      </c>
      <c r="K84">
        <f t="shared" si="6"/>
        <v>122</v>
      </c>
      <c r="L84" s="4" t="s">
        <v>148</v>
      </c>
      <c r="M84" s="78">
        <v>1150</v>
      </c>
      <c r="N84" s="190">
        <f t="shared" si="5"/>
        <v>1334</v>
      </c>
      <c r="O84" s="313">
        <f t="shared" si="1"/>
        <v>1399.366</v>
      </c>
      <c r="R84" s="4"/>
      <c r="S84" s="4"/>
    </row>
    <row r="85" spans="1:19" ht="15" thickBot="1">
      <c r="A85">
        <f t="shared" si="4"/>
        <v>60</v>
      </c>
      <c r="B85" s="4" t="s">
        <v>149</v>
      </c>
      <c r="G85" s="73">
        <v>4830</v>
      </c>
      <c r="H85" s="190">
        <f t="shared" si="2"/>
        <v>5602.7999999999993</v>
      </c>
      <c r="I85" s="313">
        <f t="shared" si="0"/>
        <v>5877.337199999999</v>
      </c>
      <c r="K85">
        <f t="shared" si="6"/>
        <v>123</v>
      </c>
      <c r="L85" t="s">
        <v>150</v>
      </c>
      <c r="M85" s="78">
        <v>200</v>
      </c>
      <c r="N85" s="190">
        <f t="shared" si="5"/>
        <v>231.99999999999997</v>
      </c>
      <c r="O85" s="313">
        <f t="shared" si="1"/>
        <v>243.36799999999997</v>
      </c>
      <c r="R85" s="4"/>
      <c r="S85" s="4"/>
    </row>
    <row r="86" spans="1:19" ht="15" thickBot="1">
      <c r="A86">
        <f t="shared" si="4"/>
        <v>61</v>
      </c>
      <c r="B86" s="4" t="s">
        <v>151</v>
      </c>
      <c r="G86" s="73">
        <v>6324.9999999999991</v>
      </c>
      <c r="H86" s="190">
        <f t="shared" si="2"/>
        <v>7336.9999999999982</v>
      </c>
      <c r="I86" s="313">
        <f t="shared" si="0"/>
        <v>7696.5129999999972</v>
      </c>
      <c r="K86">
        <f t="shared" si="6"/>
        <v>124</v>
      </c>
      <c r="L86" t="s">
        <v>152</v>
      </c>
      <c r="M86" s="78">
        <v>200</v>
      </c>
      <c r="N86" s="190">
        <f t="shared" si="5"/>
        <v>231.99999999999997</v>
      </c>
      <c r="O86" s="313">
        <f t="shared" si="1"/>
        <v>243.36799999999997</v>
      </c>
      <c r="R86" s="4"/>
      <c r="S86" s="4"/>
    </row>
    <row r="87" spans="1:19" ht="15" thickBot="1">
      <c r="A87">
        <f t="shared" si="4"/>
        <v>62</v>
      </c>
      <c r="B87" s="4" t="s">
        <v>153</v>
      </c>
      <c r="G87" s="73">
        <v>6899.9999999999991</v>
      </c>
      <c r="H87" s="190">
        <f t="shared" si="2"/>
        <v>8003.9999999999982</v>
      </c>
      <c r="I87" s="313">
        <f t="shared" si="0"/>
        <v>8396.1959999999981</v>
      </c>
      <c r="K87">
        <f t="shared" si="6"/>
        <v>125</v>
      </c>
      <c r="L87" t="s">
        <v>154</v>
      </c>
      <c r="M87" s="78">
        <v>300</v>
      </c>
      <c r="N87" s="190">
        <f t="shared" si="5"/>
        <v>348</v>
      </c>
      <c r="O87" s="313">
        <f t="shared" si="1"/>
        <v>365.05199999999996</v>
      </c>
      <c r="R87" s="4"/>
      <c r="S87" s="4"/>
    </row>
    <row r="88" spans="1:19" ht="15" thickBot="1">
      <c r="A88">
        <f t="shared" si="4"/>
        <v>63</v>
      </c>
      <c r="B88" s="4" t="s">
        <v>155</v>
      </c>
      <c r="G88" s="73">
        <v>5979.9999999999991</v>
      </c>
      <c r="H88" s="190">
        <f t="shared" si="2"/>
        <v>6936.7999999999984</v>
      </c>
      <c r="I88" s="313">
        <f t="shared" si="0"/>
        <v>7276.7031999999981</v>
      </c>
      <c r="K88">
        <f t="shared" si="6"/>
        <v>126</v>
      </c>
      <c r="L88" t="s">
        <v>156</v>
      </c>
      <c r="M88" s="78">
        <v>300</v>
      </c>
      <c r="N88" s="190">
        <f t="shared" si="5"/>
        <v>348</v>
      </c>
      <c r="O88" s="313">
        <f t="shared" si="1"/>
        <v>365.05199999999996</v>
      </c>
      <c r="R88" s="4"/>
      <c r="S88" s="4"/>
    </row>
    <row r="89" spans="1:19" ht="15" thickBot="1">
      <c r="I89" s="74"/>
      <c r="K89">
        <f t="shared" si="6"/>
        <v>127</v>
      </c>
      <c r="L89" t="s">
        <v>157</v>
      </c>
      <c r="M89" s="78">
        <v>550</v>
      </c>
      <c r="N89" s="190">
        <f t="shared" si="5"/>
        <v>638</v>
      </c>
      <c r="O89" s="313">
        <f t="shared" si="1"/>
        <v>669.26199999999994</v>
      </c>
    </row>
    <row r="90" spans="1:19" ht="15" thickBot="1">
      <c r="K90">
        <f t="shared" si="6"/>
        <v>128</v>
      </c>
      <c r="L90" t="s">
        <v>158</v>
      </c>
      <c r="M90" s="78">
        <v>1460</v>
      </c>
      <c r="N90" s="190">
        <f>SUM(M90*1.39)</f>
        <v>2029.3999999999999</v>
      </c>
      <c r="O90" s="313">
        <f t="shared" ref="O90:O99" si="8">N90*1.049</f>
        <v>2128.8405999999995</v>
      </c>
    </row>
    <row r="91" spans="1:19" ht="15" thickBot="1">
      <c r="K91">
        <f t="shared" si="6"/>
        <v>129</v>
      </c>
      <c r="L91" t="s">
        <v>160</v>
      </c>
      <c r="M91" s="78">
        <v>1769.85</v>
      </c>
      <c r="N91" s="190">
        <f>SUM(M91*1.39)</f>
        <v>2460.0914999999995</v>
      </c>
      <c r="O91" s="313">
        <f t="shared" si="8"/>
        <v>2580.6359834999994</v>
      </c>
    </row>
    <row r="92" spans="1:19" ht="15" thickBot="1">
      <c r="K92">
        <f t="shared" si="6"/>
        <v>130</v>
      </c>
      <c r="L92" t="s">
        <v>161</v>
      </c>
      <c r="M92" s="78">
        <v>1875</v>
      </c>
      <c r="N92" s="190">
        <f>SUM(M92*1.39)</f>
        <v>2606.25</v>
      </c>
      <c r="O92" s="313">
        <f t="shared" si="8"/>
        <v>2733.9562499999997</v>
      </c>
    </row>
    <row r="93" spans="1:19" ht="15" thickBot="1">
      <c r="K93">
        <f t="shared" si="6"/>
        <v>131</v>
      </c>
      <c r="L93" t="s">
        <v>162</v>
      </c>
      <c r="M93" s="78">
        <v>2050</v>
      </c>
      <c r="N93" s="190">
        <f>SUM(M93*1.39)</f>
        <v>2849.5</v>
      </c>
      <c r="O93" s="313">
        <f t="shared" si="8"/>
        <v>2989.1254999999996</v>
      </c>
    </row>
    <row r="94" spans="1:19" ht="15" thickBot="1">
      <c r="K94">
        <f t="shared" si="6"/>
        <v>132</v>
      </c>
      <c r="L94" t="s">
        <v>163</v>
      </c>
      <c r="M94" s="78">
        <v>4250</v>
      </c>
      <c r="N94" s="190">
        <f>SUM(M94*1.18)</f>
        <v>5015</v>
      </c>
      <c r="O94" s="313">
        <f t="shared" si="8"/>
        <v>5260.7349999999997</v>
      </c>
    </row>
    <row r="95" spans="1:19" ht="15" thickBot="1">
      <c r="K95">
        <f t="shared" si="6"/>
        <v>133</v>
      </c>
      <c r="L95" t="s">
        <v>164</v>
      </c>
      <c r="M95" s="193">
        <v>2815</v>
      </c>
      <c r="N95" s="191" t="s">
        <v>32</v>
      </c>
      <c r="O95" s="313"/>
    </row>
    <row r="96" spans="1:19" ht="15" thickBot="1">
      <c r="K96">
        <v>134</v>
      </c>
      <c r="L96" t="s">
        <v>165</v>
      </c>
      <c r="M96" s="78">
        <v>57.499999999999993</v>
      </c>
      <c r="N96" s="190">
        <f>SUM(M96*1.16)</f>
        <v>66.699999999999989</v>
      </c>
      <c r="O96" s="313">
        <f t="shared" si="8"/>
        <v>69.968299999999985</v>
      </c>
    </row>
    <row r="97" spans="2:20" ht="15" thickBot="1">
      <c r="K97">
        <v>135</v>
      </c>
      <c r="L97" t="s">
        <v>166</v>
      </c>
      <c r="M97" s="78">
        <v>402.49999999999994</v>
      </c>
      <c r="N97" s="190">
        <f>SUM(M97*1.16)</f>
        <v>466.89999999999992</v>
      </c>
      <c r="O97" s="313">
        <f t="shared" si="8"/>
        <v>489.77809999999988</v>
      </c>
    </row>
    <row r="98" spans="2:20" ht="15" thickBot="1">
      <c r="K98">
        <v>136</v>
      </c>
      <c r="L98" t="s">
        <v>167</v>
      </c>
      <c r="M98" s="78">
        <v>517.5</v>
      </c>
      <c r="N98" s="190">
        <f>SUM(M98*1.16)</f>
        <v>600.29999999999995</v>
      </c>
      <c r="O98" s="313">
        <f t="shared" si="8"/>
        <v>629.71469999999988</v>
      </c>
    </row>
    <row r="99" spans="2:20" ht="15" thickBot="1">
      <c r="K99">
        <v>137</v>
      </c>
      <c r="L99" t="s">
        <v>168</v>
      </c>
      <c r="M99" s="78">
        <v>63.249999999999993</v>
      </c>
      <c r="N99" s="190">
        <f>SUM(M99*1.16)</f>
        <v>73.36999999999999</v>
      </c>
      <c r="O99" s="313">
        <f t="shared" si="8"/>
        <v>76.965129999999988</v>
      </c>
    </row>
    <row r="101" spans="2:20">
      <c r="H101" s="313"/>
      <c r="I101" s="1" t="s">
        <v>888</v>
      </c>
    </row>
    <row r="102" spans="2:20" ht="15" thickBot="1">
      <c r="B102" s="1" t="s">
        <v>1</v>
      </c>
      <c r="G102" s="2" t="s">
        <v>170</v>
      </c>
      <c r="L102" s="1" t="s">
        <v>233</v>
      </c>
      <c r="N102" s="1"/>
      <c r="O102" s="1"/>
      <c r="P102" s="1"/>
      <c r="Q102" s="1"/>
      <c r="R102" s="1"/>
      <c r="S102" s="1"/>
      <c r="T102" s="1"/>
    </row>
    <row r="103" spans="2:20">
      <c r="L103" s="1" t="s">
        <v>234</v>
      </c>
      <c r="N103" s="1"/>
      <c r="O103" s="1"/>
      <c r="P103" s="1"/>
      <c r="Q103" s="1"/>
      <c r="R103" s="1"/>
      <c r="S103" s="1"/>
      <c r="T103" s="1"/>
    </row>
    <row r="104" spans="2:20" ht="15" thickBot="1">
      <c r="B104" s="1" t="s">
        <v>2</v>
      </c>
      <c r="G104" s="2" t="s">
        <v>171</v>
      </c>
      <c r="J104" s="20" t="s">
        <v>741</v>
      </c>
      <c r="K104" s="48"/>
      <c r="L104" s="48"/>
      <c r="M104" s="373" t="s">
        <v>1021</v>
      </c>
      <c r="N104" s="373"/>
      <c r="O104" s="373"/>
    </row>
    <row r="106" spans="2:20" ht="15" thickBot="1">
      <c r="B106" s="3" t="s">
        <v>3</v>
      </c>
      <c r="F106" s="1"/>
      <c r="G106" s="25">
        <v>76654</v>
      </c>
      <c r="H106" s="39"/>
      <c r="I106" s="39"/>
      <c r="J106" s="48">
        <f>95557+6273</f>
        <v>101830</v>
      </c>
      <c r="K106" s="313">
        <f>J106*1.049</f>
        <v>106819.67</v>
      </c>
      <c r="L106" s="3" t="s">
        <v>4</v>
      </c>
      <c r="M106" s="76" t="s">
        <v>172</v>
      </c>
      <c r="N106" s="48">
        <f>123522+6267</f>
        <v>129789</v>
      </c>
      <c r="O106" s="313">
        <f>N106*1.049</f>
        <v>136148.66099999999</v>
      </c>
      <c r="P106" s="370">
        <f>O106+8800</f>
        <v>144948.66099999999</v>
      </c>
      <c r="Q106" t="s">
        <v>5</v>
      </c>
    </row>
    <row r="107" spans="2:20">
      <c r="B107" s="4" t="s">
        <v>6</v>
      </c>
      <c r="K107" s="61"/>
      <c r="L107" s="4" t="s">
        <v>7</v>
      </c>
      <c r="O107" s="61"/>
    </row>
    <row r="108" spans="2:20" ht="15" thickBot="1">
      <c r="B108" s="3" t="s">
        <v>8</v>
      </c>
      <c r="G108" s="25">
        <v>77174</v>
      </c>
      <c r="H108" s="39"/>
      <c r="I108" s="39"/>
      <c r="J108" s="48">
        <f>97427+7505</f>
        <v>104932</v>
      </c>
      <c r="K108" s="313">
        <f>J108*1.049+6874</f>
        <v>116947.66799999999</v>
      </c>
      <c r="L108" s="3"/>
      <c r="O108" s="61"/>
    </row>
    <row r="109" spans="2:20">
      <c r="B109" s="4" t="s">
        <v>10</v>
      </c>
      <c r="K109" s="61"/>
      <c r="L109" s="4"/>
      <c r="O109" s="61"/>
    </row>
    <row r="110" spans="2:20" ht="15" thickBot="1">
      <c r="B110" s="3" t="s">
        <v>11</v>
      </c>
      <c r="G110" s="25">
        <v>79975</v>
      </c>
      <c r="H110" s="39"/>
      <c r="I110" s="39"/>
      <c r="J110" s="48">
        <f>99642+6716</f>
        <v>106358</v>
      </c>
      <c r="K110" s="313">
        <f>J110*1.049</f>
        <v>111569.54199999999</v>
      </c>
      <c r="L110" s="3" t="s">
        <v>12</v>
      </c>
      <c r="M110" s="25" t="s">
        <v>173</v>
      </c>
      <c r="N110" s="48">
        <f>127733+6267</f>
        <v>134000</v>
      </c>
      <c r="O110" s="313">
        <f>N110*1.049</f>
        <v>140566</v>
      </c>
      <c r="P110" s="370">
        <f>O110+8800</f>
        <v>149366</v>
      </c>
      <c r="Q110" t="s">
        <v>5</v>
      </c>
    </row>
    <row r="111" spans="2:20">
      <c r="B111" s="4" t="s">
        <v>7</v>
      </c>
      <c r="K111" s="61"/>
      <c r="L111" s="4" t="s">
        <v>13</v>
      </c>
    </row>
    <row r="112" spans="2:20" ht="15" thickBot="1">
      <c r="B112" s="3" t="s">
        <v>14</v>
      </c>
      <c r="G112" s="25">
        <v>81634</v>
      </c>
      <c r="H112" s="39"/>
      <c r="I112" s="39"/>
      <c r="J112" s="48">
        <f>100746+6267</f>
        <v>107013</v>
      </c>
      <c r="K112" s="313">
        <f>J112*1.049</f>
        <v>112256.63699999999</v>
      </c>
    </row>
    <row r="113" spans="1:19">
      <c r="B113" s="4" t="s">
        <v>7</v>
      </c>
      <c r="K113" s="61"/>
      <c r="L113" s="208"/>
    </row>
    <row r="114" spans="1:19" ht="15" thickBot="1">
      <c r="B114" s="3" t="s">
        <v>15</v>
      </c>
      <c r="G114" s="25">
        <v>103961</v>
      </c>
      <c r="H114" s="39"/>
      <c r="I114" s="39"/>
      <c r="J114" s="48">
        <f>123573+6267</f>
        <v>129840</v>
      </c>
      <c r="K114" s="313">
        <f>J114*1.049</f>
        <v>136202.16</v>
      </c>
      <c r="L114" s="41" t="s">
        <v>911</v>
      </c>
      <c r="M114" t="s">
        <v>913</v>
      </c>
      <c r="N114" s="334">
        <v>105292</v>
      </c>
    </row>
    <row r="115" spans="1:19">
      <c r="B115" s="4" t="s">
        <v>7</v>
      </c>
      <c r="K115" s="61"/>
    </row>
    <row r="116" spans="1:19" ht="15" thickBot="1">
      <c r="B116" s="3" t="s">
        <v>16</v>
      </c>
      <c r="G116" s="25">
        <v>84304</v>
      </c>
      <c r="H116" s="39"/>
      <c r="I116" s="39"/>
      <c r="J116" s="48">
        <f>104627+6267</f>
        <v>110894</v>
      </c>
      <c r="K116" s="313">
        <f>J116*1.049</f>
        <v>116327.806</v>
      </c>
      <c r="L116" s="1" t="s">
        <v>912</v>
      </c>
      <c r="M116" t="s">
        <v>913</v>
      </c>
      <c r="N116" s="269">
        <v>109173</v>
      </c>
    </row>
    <row r="117" spans="1:19">
      <c r="B117" s="4" t="s">
        <v>13</v>
      </c>
      <c r="K117" s="61"/>
    </row>
    <row r="118" spans="1:19" ht="15" thickBot="1">
      <c r="B118" s="3" t="s">
        <v>17</v>
      </c>
      <c r="G118" s="25">
        <v>106961</v>
      </c>
      <c r="H118" s="39"/>
      <c r="I118" s="39"/>
      <c r="J118" s="48">
        <f>127784+6267</f>
        <v>134051</v>
      </c>
      <c r="K118" s="313">
        <f>J118*1.049</f>
        <v>140619.49899999998</v>
      </c>
      <c r="M118" t="s">
        <v>914</v>
      </c>
    </row>
    <row r="119" spans="1:19">
      <c r="B119" s="4" t="s">
        <v>13</v>
      </c>
    </row>
    <row r="121" spans="1:19">
      <c r="B121" s="3" t="s">
        <v>22</v>
      </c>
    </row>
    <row r="122" spans="1:19" ht="15" thickBot="1">
      <c r="A122">
        <v>1</v>
      </c>
      <c r="B122" s="4" t="s">
        <v>23</v>
      </c>
      <c r="G122" s="73">
        <v>1175</v>
      </c>
      <c r="H122" s="97">
        <f>SUM(G122*1.18)</f>
        <v>1386.5</v>
      </c>
      <c r="I122" s="313">
        <f t="shared" ref="I122:I180" si="9">H122*1.049</f>
        <v>1454.4385</v>
      </c>
      <c r="J122" s="148"/>
      <c r="K122">
        <f>(A184+1)</f>
        <v>64</v>
      </c>
      <c r="L122" s="4" t="s">
        <v>24</v>
      </c>
      <c r="M122" s="84">
        <v>9222</v>
      </c>
      <c r="N122" s="97">
        <f t="shared" ref="N122:N185" si="10">SUM(M122*1.18)</f>
        <v>10881.96</v>
      </c>
      <c r="O122" s="313">
        <f t="shared" ref="O122:O185" si="11">N122*1.049</f>
        <v>11415.176039999998</v>
      </c>
      <c r="P122" t="s">
        <v>25</v>
      </c>
      <c r="Q122" s="5">
        <v>5500</v>
      </c>
      <c r="R122" s="53">
        <f>SUM(Q122*1.18)</f>
        <v>6490</v>
      </c>
      <c r="S122" s="313">
        <f t="shared" ref="S122:S123" si="12">R122*1.049</f>
        <v>6808.0099999999993</v>
      </c>
    </row>
    <row r="123" spans="1:19" ht="15" thickBot="1">
      <c r="A123">
        <f>(A122+1)</f>
        <v>2</v>
      </c>
      <c r="B123" s="4" t="s">
        <v>26</v>
      </c>
      <c r="G123" s="73">
        <v>1040.175</v>
      </c>
      <c r="H123" s="97">
        <f t="shared" ref="H123:H180" si="13">SUM(G123*1.18)</f>
        <v>1227.4064999999998</v>
      </c>
      <c r="I123" s="313">
        <f t="shared" si="9"/>
        <v>1287.5494184999998</v>
      </c>
      <c r="J123" s="148"/>
      <c r="K123">
        <f t="shared" ref="K123:K186" si="14">(K122+1)</f>
        <v>65</v>
      </c>
      <c r="L123" t="s">
        <v>27</v>
      </c>
      <c r="M123" s="84">
        <v>4609</v>
      </c>
      <c r="N123" s="97">
        <f t="shared" si="10"/>
        <v>5438.62</v>
      </c>
      <c r="O123" s="313">
        <f t="shared" si="11"/>
        <v>5705.1123799999996</v>
      </c>
      <c r="P123" t="s">
        <v>28</v>
      </c>
      <c r="Q123" s="5">
        <v>6200</v>
      </c>
      <c r="R123" s="53">
        <f>SUM(Q123*1.18)</f>
        <v>7316</v>
      </c>
      <c r="S123" s="313">
        <f t="shared" si="12"/>
        <v>7674.4839999999995</v>
      </c>
    </row>
    <row r="124" spans="1:19" ht="15" thickBot="1">
      <c r="A124">
        <f t="shared" ref="A124:A184" si="15">(A123+1)</f>
        <v>3</v>
      </c>
      <c r="B124" s="4" t="s">
        <v>29</v>
      </c>
      <c r="G124" s="73">
        <v>693.44999999999993</v>
      </c>
      <c r="H124" s="97">
        <f t="shared" si="13"/>
        <v>818.27099999999984</v>
      </c>
      <c r="I124" s="313">
        <f t="shared" si="9"/>
        <v>858.36627899999974</v>
      </c>
      <c r="J124" s="148"/>
      <c r="K124">
        <f t="shared" si="14"/>
        <v>66</v>
      </c>
      <c r="L124" s="4" t="s">
        <v>30</v>
      </c>
      <c r="M124" s="84">
        <v>1045.3499999999999</v>
      </c>
      <c r="N124" s="97">
        <f t="shared" si="10"/>
        <v>1233.5129999999999</v>
      </c>
      <c r="O124" s="313">
        <f t="shared" si="11"/>
        <v>1293.9551369999999</v>
      </c>
      <c r="P124" s="4" t="s">
        <v>207</v>
      </c>
      <c r="Q124" s="6" t="s">
        <v>32</v>
      </c>
      <c r="R124" s="41"/>
      <c r="S124" s="7" t="s">
        <v>33</v>
      </c>
    </row>
    <row r="125" spans="1:19" ht="15" thickBot="1">
      <c r="A125">
        <f t="shared" si="15"/>
        <v>4</v>
      </c>
      <c r="B125" s="4" t="s">
        <v>34</v>
      </c>
      <c r="G125" s="73">
        <v>646.875</v>
      </c>
      <c r="H125" s="97">
        <f t="shared" si="13"/>
        <v>763.3125</v>
      </c>
      <c r="I125" s="313">
        <f t="shared" si="9"/>
        <v>800.71481249999999</v>
      </c>
      <c r="J125" s="148"/>
      <c r="K125">
        <f t="shared" si="14"/>
        <v>67</v>
      </c>
      <c r="L125" s="4" t="s">
        <v>35</v>
      </c>
      <c r="M125" s="84">
        <v>3001.4999999999995</v>
      </c>
      <c r="N125" s="97">
        <f t="shared" si="10"/>
        <v>3541.7699999999991</v>
      </c>
      <c r="O125" s="313">
        <f t="shared" si="11"/>
        <v>3715.3167299999986</v>
      </c>
      <c r="P125" s="4" t="s">
        <v>31</v>
      </c>
      <c r="Q125" s="9" t="s">
        <v>32</v>
      </c>
      <c r="R125" s="41"/>
      <c r="S125" s="7" t="s">
        <v>33</v>
      </c>
    </row>
    <row r="126" spans="1:19" ht="15" thickBot="1">
      <c r="A126">
        <f t="shared" si="15"/>
        <v>5</v>
      </c>
      <c r="B126" s="4" t="s">
        <v>37</v>
      </c>
      <c r="G126" s="73">
        <v>1014.3</v>
      </c>
      <c r="H126" s="97">
        <f t="shared" si="13"/>
        <v>1196.8739999999998</v>
      </c>
      <c r="I126" s="313">
        <f t="shared" si="9"/>
        <v>1255.5208259999997</v>
      </c>
      <c r="J126" s="148"/>
      <c r="K126">
        <f t="shared" si="14"/>
        <v>68</v>
      </c>
      <c r="L126" t="s">
        <v>38</v>
      </c>
      <c r="M126" s="84">
        <v>9832.5</v>
      </c>
      <c r="N126" s="97">
        <f t="shared" si="10"/>
        <v>11602.349999999999</v>
      </c>
      <c r="O126" s="313">
        <f t="shared" si="11"/>
        <v>12170.865149999998</v>
      </c>
      <c r="P126" s="19" t="s">
        <v>36</v>
      </c>
      <c r="Q126" s="9" t="s">
        <v>32</v>
      </c>
      <c r="R126" s="41"/>
    </row>
    <row r="127" spans="1:19" ht="15" thickBot="1">
      <c r="A127">
        <f t="shared" si="15"/>
        <v>6</v>
      </c>
      <c r="B127" s="4" t="s">
        <v>39</v>
      </c>
      <c r="G127" s="73">
        <v>1614.6</v>
      </c>
      <c r="H127" s="97">
        <f t="shared" si="13"/>
        <v>1905.2279999999998</v>
      </c>
      <c r="I127" s="313">
        <f t="shared" si="9"/>
        <v>1998.5841719999996</v>
      </c>
      <c r="J127" s="148"/>
      <c r="K127">
        <f t="shared" si="14"/>
        <v>69</v>
      </c>
      <c r="L127" s="4" t="s">
        <v>40</v>
      </c>
      <c r="M127" s="112" t="s">
        <v>32</v>
      </c>
      <c r="N127" s="97" t="s">
        <v>32</v>
      </c>
      <c r="O127" s="313"/>
    </row>
    <row r="128" spans="1:19" ht="15" thickBot="1">
      <c r="A128">
        <f t="shared" si="15"/>
        <v>7</v>
      </c>
      <c r="B128" s="4" t="s">
        <v>41</v>
      </c>
      <c r="G128" s="73">
        <v>1179.8999999999999</v>
      </c>
      <c r="H128" s="97">
        <f t="shared" si="13"/>
        <v>1392.2819999999997</v>
      </c>
      <c r="I128" s="313">
        <f t="shared" si="9"/>
        <v>1460.5038179999997</v>
      </c>
      <c r="J128" s="148"/>
      <c r="K128">
        <f t="shared" si="14"/>
        <v>70</v>
      </c>
      <c r="L128" s="4" t="s">
        <v>42</v>
      </c>
      <c r="M128" s="84">
        <v>1102.2749999999999</v>
      </c>
      <c r="N128" s="97">
        <f t="shared" si="10"/>
        <v>1300.6844999999998</v>
      </c>
      <c r="O128" s="313">
        <f t="shared" si="11"/>
        <v>1364.4180404999997</v>
      </c>
    </row>
    <row r="129" spans="1:16" ht="15" thickBot="1">
      <c r="A129">
        <f t="shared" si="15"/>
        <v>8</v>
      </c>
      <c r="B129" s="4" t="s">
        <v>43</v>
      </c>
      <c r="G129" s="73">
        <v>1185.0749999999998</v>
      </c>
      <c r="H129" s="97">
        <f t="shared" si="13"/>
        <v>1398.3884999999998</v>
      </c>
      <c r="I129" s="313">
        <f t="shared" si="9"/>
        <v>1466.9095364999996</v>
      </c>
      <c r="J129" s="148"/>
      <c r="K129">
        <f t="shared" si="14"/>
        <v>71</v>
      </c>
      <c r="L129" s="4" t="s">
        <v>44</v>
      </c>
      <c r="M129" s="169">
        <v>1148.8499999999999</v>
      </c>
      <c r="N129" s="97">
        <f t="shared" si="10"/>
        <v>1355.6429999999998</v>
      </c>
      <c r="O129" s="313">
        <f t="shared" si="11"/>
        <v>1422.0695069999997</v>
      </c>
    </row>
    <row r="130" spans="1:16" ht="15" thickBot="1">
      <c r="A130">
        <f t="shared" si="15"/>
        <v>9</v>
      </c>
      <c r="B130" s="4" t="s">
        <v>45</v>
      </c>
      <c r="G130" s="73">
        <v>-90</v>
      </c>
      <c r="H130" s="97">
        <f t="shared" si="13"/>
        <v>-106.19999999999999</v>
      </c>
      <c r="I130" s="313">
        <f t="shared" si="9"/>
        <v>-111.40379999999998</v>
      </c>
      <c r="J130" s="148"/>
      <c r="K130">
        <f t="shared" si="14"/>
        <v>72</v>
      </c>
      <c r="L130" s="4" t="s">
        <v>46</v>
      </c>
      <c r="M130" s="169">
        <v>269.09999999999997</v>
      </c>
      <c r="N130" s="97">
        <f t="shared" si="10"/>
        <v>317.53799999999995</v>
      </c>
      <c r="O130" s="313">
        <f t="shared" si="11"/>
        <v>333.09736199999992</v>
      </c>
      <c r="P130" s="4"/>
    </row>
    <row r="131" spans="1:16" ht="15" thickBot="1">
      <c r="A131">
        <f t="shared" si="15"/>
        <v>10</v>
      </c>
      <c r="B131" s="4" t="s">
        <v>47</v>
      </c>
      <c r="G131" s="73">
        <v>1894.05</v>
      </c>
      <c r="H131" s="97">
        <f t="shared" si="13"/>
        <v>2234.9789999999998</v>
      </c>
      <c r="I131" s="313">
        <f t="shared" si="9"/>
        <v>2344.4929709999997</v>
      </c>
      <c r="J131" s="148"/>
      <c r="K131">
        <f t="shared" si="14"/>
        <v>73</v>
      </c>
      <c r="L131" s="4" t="s">
        <v>48</v>
      </c>
      <c r="M131" s="169">
        <v>900.44999999999993</v>
      </c>
      <c r="N131" s="97">
        <f t="shared" si="10"/>
        <v>1062.5309999999999</v>
      </c>
      <c r="O131" s="313">
        <f t="shared" si="11"/>
        <v>1114.5950189999999</v>
      </c>
      <c r="P131" s="4"/>
    </row>
    <row r="132" spans="1:16" ht="15" thickBot="1">
      <c r="A132">
        <f t="shared" si="15"/>
        <v>11</v>
      </c>
      <c r="B132" t="s">
        <v>49</v>
      </c>
      <c r="G132" s="73">
        <v>1894.05</v>
      </c>
      <c r="H132" s="97">
        <f t="shared" si="13"/>
        <v>2234.9789999999998</v>
      </c>
      <c r="I132" s="313">
        <f t="shared" si="9"/>
        <v>2344.4929709999997</v>
      </c>
      <c r="J132" s="148"/>
      <c r="K132">
        <f t="shared" si="14"/>
        <v>74</v>
      </c>
      <c r="L132" s="4" t="s">
        <v>50</v>
      </c>
      <c r="M132" s="169">
        <v>165.6</v>
      </c>
      <c r="N132" s="97">
        <f t="shared" si="10"/>
        <v>195.40799999999999</v>
      </c>
      <c r="O132" s="313">
        <f t="shared" si="11"/>
        <v>204.98299199999997</v>
      </c>
      <c r="P132" s="19"/>
    </row>
    <row r="133" spans="1:16" ht="15" thickBot="1">
      <c r="A133">
        <f t="shared" si="15"/>
        <v>12</v>
      </c>
      <c r="B133" s="4" t="s">
        <v>51</v>
      </c>
      <c r="E133" s="1"/>
      <c r="G133" s="73">
        <v>1894.05</v>
      </c>
      <c r="H133" s="97">
        <f t="shared" si="13"/>
        <v>2234.9789999999998</v>
      </c>
      <c r="I133" s="313">
        <f t="shared" si="9"/>
        <v>2344.4929709999997</v>
      </c>
      <c r="J133" s="148"/>
      <c r="K133">
        <f t="shared" si="14"/>
        <v>75</v>
      </c>
      <c r="L133" s="4" t="s">
        <v>52</v>
      </c>
      <c r="M133" s="84">
        <v>683.09999999999991</v>
      </c>
      <c r="N133" s="97">
        <f t="shared" si="10"/>
        <v>806.05799999999988</v>
      </c>
      <c r="O133" s="313">
        <f t="shared" si="11"/>
        <v>845.55484199999978</v>
      </c>
    </row>
    <row r="134" spans="1:16" ht="15" thickBot="1">
      <c r="A134">
        <f t="shared" si="15"/>
        <v>13</v>
      </c>
      <c r="B134" s="4" t="s">
        <v>53</v>
      </c>
      <c r="E134" s="1"/>
      <c r="G134" s="73">
        <v>-875</v>
      </c>
      <c r="H134" s="97">
        <f t="shared" si="13"/>
        <v>-1032.5</v>
      </c>
      <c r="I134" s="313">
        <f t="shared" si="9"/>
        <v>-1083.0925</v>
      </c>
      <c r="J134" s="188"/>
      <c r="K134">
        <f t="shared" si="14"/>
        <v>76</v>
      </c>
      <c r="L134" s="4" t="s">
        <v>54</v>
      </c>
      <c r="M134" s="84" t="s">
        <v>192</v>
      </c>
      <c r="N134" s="97" t="s">
        <v>192</v>
      </c>
      <c r="O134" s="313"/>
    </row>
    <row r="135" spans="1:16" ht="15" thickBot="1">
      <c r="A135">
        <f t="shared" si="15"/>
        <v>14</v>
      </c>
      <c r="B135" s="4" t="s">
        <v>55</v>
      </c>
      <c r="E135" s="1"/>
      <c r="G135" s="73">
        <v>491</v>
      </c>
      <c r="H135" s="97">
        <f t="shared" si="13"/>
        <v>579.38</v>
      </c>
      <c r="I135" s="313">
        <f t="shared" si="9"/>
        <v>607.76961999999992</v>
      </c>
      <c r="J135" s="148"/>
      <c r="K135">
        <f t="shared" si="14"/>
        <v>77</v>
      </c>
      <c r="L135" s="4" t="s">
        <v>56</v>
      </c>
      <c r="M135" s="119" t="s">
        <v>57</v>
      </c>
      <c r="N135" s="97" t="s">
        <v>192</v>
      </c>
      <c r="O135" s="313"/>
    </row>
    <row r="136" spans="1:16" ht="15" thickBot="1">
      <c r="A136">
        <f t="shared" si="15"/>
        <v>15</v>
      </c>
      <c r="B136" s="4" t="s">
        <v>58</v>
      </c>
      <c r="G136" s="75" t="s">
        <v>32</v>
      </c>
      <c r="H136" s="97" t="s">
        <v>704</v>
      </c>
      <c r="I136" s="313"/>
      <c r="J136" s="188"/>
      <c r="K136">
        <f t="shared" si="14"/>
        <v>78</v>
      </c>
      <c r="L136" s="4" t="s">
        <v>59</v>
      </c>
      <c r="M136" s="169">
        <v>413.99999999999994</v>
      </c>
      <c r="N136" s="97">
        <f t="shared" si="10"/>
        <v>488.51999999999992</v>
      </c>
      <c r="O136" s="313">
        <f t="shared" si="11"/>
        <v>512.45747999999992</v>
      </c>
    </row>
    <row r="137" spans="1:16" ht="15" thickBot="1">
      <c r="A137">
        <f t="shared" si="15"/>
        <v>16</v>
      </c>
      <c r="B137" s="4" t="s">
        <v>60</v>
      </c>
      <c r="G137" s="73">
        <v>62.099999999999994</v>
      </c>
      <c r="H137" s="97">
        <f t="shared" si="13"/>
        <v>73.277999999999992</v>
      </c>
      <c r="I137" s="313">
        <f t="shared" si="9"/>
        <v>76.868621999999988</v>
      </c>
      <c r="J137" s="148"/>
      <c r="K137">
        <f t="shared" si="14"/>
        <v>79</v>
      </c>
      <c r="L137" s="4" t="s">
        <v>61</v>
      </c>
      <c r="M137" s="169">
        <v>2574</v>
      </c>
      <c r="N137" s="97">
        <f>SUM(M137*1.22)</f>
        <v>3140.2799999999997</v>
      </c>
      <c r="O137" s="313">
        <f t="shared" si="11"/>
        <v>3294.1537199999993</v>
      </c>
    </row>
    <row r="138" spans="1:16" ht="15" thickBot="1">
      <c r="A138">
        <f t="shared" si="15"/>
        <v>17</v>
      </c>
      <c r="B138" t="s">
        <v>62</v>
      </c>
      <c r="E138" s="1"/>
      <c r="G138" s="73">
        <v>62.099999999999994</v>
      </c>
      <c r="H138" s="97">
        <f t="shared" si="13"/>
        <v>73.277999999999992</v>
      </c>
      <c r="I138" s="313">
        <f t="shared" si="9"/>
        <v>76.868621999999988</v>
      </c>
      <c r="J138" s="148"/>
      <c r="K138">
        <f t="shared" si="14"/>
        <v>80</v>
      </c>
      <c r="L138" s="4" t="s">
        <v>63</v>
      </c>
      <c r="M138" s="169">
        <v>2815</v>
      </c>
      <c r="N138" s="97">
        <f>SUM(M138*1.22)</f>
        <v>3434.2999999999997</v>
      </c>
      <c r="O138" s="313">
        <f t="shared" si="11"/>
        <v>3602.5806999999995</v>
      </c>
    </row>
    <row r="139" spans="1:16" ht="15" thickBot="1">
      <c r="A139">
        <f t="shared" si="15"/>
        <v>18</v>
      </c>
      <c r="B139" t="s">
        <v>64</v>
      </c>
      <c r="E139" s="1"/>
      <c r="G139" s="73">
        <v>93.149999999999991</v>
      </c>
      <c r="H139" s="97">
        <f t="shared" si="13"/>
        <v>109.91699999999999</v>
      </c>
      <c r="I139" s="313">
        <f t="shared" si="9"/>
        <v>115.30293299999998</v>
      </c>
      <c r="J139" s="148"/>
      <c r="K139">
        <f t="shared" si="14"/>
        <v>81</v>
      </c>
      <c r="L139" s="4" t="s">
        <v>65</v>
      </c>
      <c r="M139" s="169">
        <v>724.5</v>
      </c>
      <c r="N139" s="97">
        <f t="shared" si="10"/>
        <v>854.91</v>
      </c>
      <c r="O139" s="313">
        <f t="shared" si="11"/>
        <v>896.80058999999994</v>
      </c>
    </row>
    <row r="140" spans="1:16" ht="15" thickBot="1">
      <c r="A140">
        <f t="shared" si="15"/>
        <v>19</v>
      </c>
      <c r="B140" t="s">
        <v>66</v>
      </c>
      <c r="E140" s="1"/>
      <c r="G140" s="73">
        <v>72.449999999999989</v>
      </c>
      <c r="H140" s="97">
        <f t="shared" si="13"/>
        <v>85.490999999999985</v>
      </c>
      <c r="I140" s="313">
        <f t="shared" si="9"/>
        <v>89.680058999999986</v>
      </c>
      <c r="J140" s="148"/>
      <c r="K140">
        <f t="shared" si="14"/>
        <v>82</v>
      </c>
      <c r="L140" s="4" t="s">
        <v>67</v>
      </c>
      <c r="M140" s="84">
        <v>124.19999999999999</v>
      </c>
      <c r="N140" s="97">
        <f t="shared" si="10"/>
        <v>146.55599999999998</v>
      </c>
      <c r="O140" s="313">
        <f t="shared" si="11"/>
        <v>153.73724399999998</v>
      </c>
      <c r="P140" s="1" t="s">
        <v>214</v>
      </c>
    </row>
    <row r="141" spans="1:16" ht="15" thickBot="1">
      <c r="A141">
        <f t="shared" si="15"/>
        <v>20</v>
      </c>
      <c r="B141" t="s">
        <v>68</v>
      </c>
      <c r="E141" s="1"/>
      <c r="G141" s="73">
        <v>77.625</v>
      </c>
      <c r="H141" s="97">
        <f t="shared" si="13"/>
        <v>91.597499999999997</v>
      </c>
      <c r="I141" s="313">
        <f t="shared" si="9"/>
        <v>96.085777499999992</v>
      </c>
      <c r="J141" s="148"/>
      <c r="K141">
        <f t="shared" si="14"/>
        <v>83</v>
      </c>
      <c r="L141" s="4" t="s">
        <v>69</v>
      </c>
      <c r="M141" s="84">
        <v>-425</v>
      </c>
      <c r="N141" s="97">
        <f t="shared" si="10"/>
        <v>-501.5</v>
      </c>
      <c r="O141" s="313">
        <f t="shared" si="11"/>
        <v>-526.07349999999997</v>
      </c>
    </row>
    <row r="142" spans="1:16" ht="15" thickBot="1">
      <c r="A142">
        <f t="shared" si="15"/>
        <v>21</v>
      </c>
      <c r="B142" t="s">
        <v>70</v>
      </c>
      <c r="E142" s="1"/>
      <c r="G142" s="73">
        <v>82.8</v>
      </c>
      <c r="H142" s="97">
        <f t="shared" si="13"/>
        <v>97.703999999999994</v>
      </c>
      <c r="I142" s="313">
        <f t="shared" si="9"/>
        <v>102.49149599999998</v>
      </c>
      <c r="J142" s="148"/>
      <c r="K142">
        <f t="shared" si="14"/>
        <v>84</v>
      </c>
      <c r="L142" s="4" t="s">
        <v>71</v>
      </c>
      <c r="M142" s="84">
        <v>550</v>
      </c>
      <c r="N142" s="97">
        <f t="shared" si="10"/>
        <v>649</v>
      </c>
      <c r="O142" s="313">
        <f t="shared" si="11"/>
        <v>680.80099999999993</v>
      </c>
      <c r="P142" s="1" t="s">
        <v>700</v>
      </c>
    </row>
    <row r="143" spans="1:16" ht="15" thickBot="1">
      <c r="A143">
        <f t="shared" si="15"/>
        <v>22</v>
      </c>
      <c r="B143" t="s">
        <v>72</v>
      </c>
      <c r="E143" s="1"/>
      <c r="G143" s="73">
        <v>51.749999999999993</v>
      </c>
      <c r="H143" s="97">
        <f t="shared" si="13"/>
        <v>61.064999999999991</v>
      </c>
      <c r="I143" s="313">
        <f t="shared" si="9"/>
        <v>64.05718499999999</v>
      </c>
      <c r="J143" s="148"/>
      <c r="K143">
        <f t="shared" si="14"/>
        <v>85</v>
      </c>
      <c r="L143" s="4" t="s">
        <v>73</v>
      </c>
      <c r="M143" s="84">
        <v>1097.0999999999999</v>
      </c>
      <c r="N143" s="97">
        <f t="shared" si="10"/>
        <v>1294.5779999999997</v>
      </c>
      <c r="O143" s="313">
        <f t="shared" si="11"/>
        <v>1358.0123219999996</v>
      </c>
    </row>
    <row r="144" spans="1:16" ht="15" thickBot="1">
      <c r="A144">
        <f t="shared" si="15"/>
        <v>23</v>
      </c>
      <c r="B144" t="s">
        <v>74</v>
      </c>
      <c r="E144" s="1"/>
      <c r="G144" s="73">
        <v>103.49999999999999</v>
      </c>
      <c r="H144" s="97">
        <f t="shared" si="13"/>
        <v>122.12999999999998</v>
      </c>
      <c r="I144" s="313">
        <f t="shared" si="9"/>
        <v>128.11436999999998</v>
      </c>
      <c r="J144" s="148"/>
      <c r="K144">
        <f t="shared" si="14"/>
        <v>86</v>
      </c>
      <c r="L144" s="4" t="s">
        <v>75</v>
      </c>
      <c r="M144" s="84">
        <v>82.8</v>
      </c>
      <c r="N144" s="97">
        <f t="shared" si="10"/>
        <v>97.703999999999994</v>
      </c>
      <c r="O144" s="313">
        <f t="shared" si="11"/>
        <v>102.49149599999998</v>
      </c>
    </row>
    <row r="145" spans="1:18" ht="15" thickBot="1">
      <c r="A145">
        <f t="shared" si="15"/>
        <v>24</v>
      </c>
      <c r="B145" t="s">
        <v>76</v>
      </c>
      <c r="E145" s="1"/>
      <c r="F145" t="s">
        <v>77</v>
      </c>
      <c r="G145" s="73">
        <v>1656</v>
      </c>
      <c r="H145" s="97">
        <f t="shared" si="13"/>
        <v>1954.08</v>
      </c>
      <c r="I145" s="313">
        <f t="shared" si="9"/>
        <v>2049.8299199999997</v>
      </c>
      <c r="J145" s="188"/>
      <c r="K145">
        <f t="shared" si="14"/>
        <v>87</v>
      </c>
      <c r="L145" s="4" t="s">
        <v>78</v>
      </c>
      <c r="M145" s="84">
        <v>476.09999999999997</v>
      </c>
      <c r="N145" s="97">
        <f t="shared" si="10"/>
        <v>561.79799999999989</v>
      </c>
      <c r="O145" s="313">
        <f t="shared" si="11"/>
        <v>589.32610199999988</v>
      </c>
      <c r="P145" s="1" t="s">
        <v>701</v>
      </c>
    </row>
    <row r="146" spans="1:18" ht="15" thickBot="1">
      <c r="A146">
        <f t="shared" si="15"/>
        <v>25</v>
      </c>
      <c r="B146" s="4" t="s">
        <v>79</v>
      </c>
      <c r="E146" s="1"/>
      <c r="G146" s="73">
        <v>850</v>
      </c>
      <c r="H146" s="97">
        <f t="shared" si="13"/>
        <v>1003</v>
      </c>
      <c r="I146" s="313">
        <f t="shared" si="9"/>
        <v>1052.1469999999999</v>
      </c>
      <c r="J146" s="148"/>
      <c r="K146">
        <f t="shared" si="14"/>
        <v>88</v>
      </c>
      <c r="L146" s="4" t="s">
        <v>80</v>
      </c>
      <c r="M146" s="84">
        <v>62.099999999999994</v>
      </c>
      <c r="N146" s="97">
        <f t="shared" si="10"/>
        <v>73.277999999999992</v>
      </c>
      <c r="O146" s="313">
        <f t="shared" si="11"/>
        <v>76.868621999999988</v>
      </c>
    </row>
    <row r="147" spans="1:18" ht="15" thickBot="1">
      <c r="A147">
        <f t="shared" si="15"/>
        <v>26</v>
      </c>
      <c r="B147" s="4" t="s">
        <v>81</v>
      </c>
      <c r="G147" s="73">
        <v>850</v>
      </c>
      <c r="H147" s="97">
        <f t="shared" si="13"/>
        <v>1003</v>
      </c>
      <c r="I147" s="313">
        <f t="shared" si="9"/>
        <v>1052.1469999999999</v>
      </c>
      <c r="J147" s="148"/>
      <c r="K147">
        <f t="shared" si="14"/>
        <v>89</v>
      </c>
      <c r="L147" s="4" t="s">
        <v>82</v>
      </c>
      <c r="M147" s="84">
        <v>155.25</v>
      </c>
      <c r="N147" s="97">
        <f t="shared" si="10"/>
        <v>183.19499999999999</v>
      </c>
      <c r="O147" s="313">
        <f t="shared" si="11"/>
        <v>192.17155499999998</v>
      </c>
    </row>
    <row r="148" spans="1:18" ht="15" thickBot="1">
      <c r="A148">
        <f t="shared" si="15"/>
        <v>27</v>
      </c>
      <c r="B148" s="4" t="s">
        <v>83</v>
      </c>
      <c r="G148" s="73">
        <v>155.25</v>
      </c>
      <c r="H148" s="97">
        <f t="shared" si="13"/>
        <v>183.19499999999999</v>
      </c>
      <c r="I148" s="313">
        <f t="shared" si="9"/>
        <v>192.17155499999998</v>
      </c>
      <c r="J148" s="148"/>
      <c r="K148">
        <f t="shared" si="14"/>
        <v>90</v>
      </c>
      <c r="L148" s="4" t="s">
        <v>84</v>
      </c>
      <c r="M148" s="84">
        <v>77.625</v>
      </c>
      <c r="N148" s="97">
        <f t="shared" si="10"/>
        <v>91.597499999999997</v>
      </c>
      <c r="O148" s="313">
        <f t="shared" si="11"/>
        <v>96.085777499999992</v>
      </c>
    </row>
    <row r="149" spans="1:18" ht="15" thickBot="1">
      <c r="A149">
        <f t="shared" si="15"/>
        <v>28</v>
      </c>
      <c r="B149" s="4" t="s">
        <v>85</v>
      </c>
      <c r="G149" s="73">
        <v>522.67499999999995</v>
      </c>
      <c r="H149" s="97">
        <f t="shared" si="13"/>
        <v>616.75649999999996</v>
      </c>
      <c r="I149" s="313">
        <f t="shared" si="9"/>
        <v>646.97756849999996</v>
      </c>
      <c r="J149" s="148"/>
      <c r="K149">
        <f t="shared" si="14"/>
        <v>91</v>
      </c>
      <c r="L149" s="4" t="s">
        <v>86</v>
      </c>
      <c r="M149" s="84">
        <v>827.99999999999989</v>
      </c>
      <c r="N149" s="97">
        <f>SUM(M149*1.29)</f>
        <v>1068.1199999999999</v>
      </c>
      <c r="O149" s="313">
        <f t="shared" si="11"/>
        <v>1120.4578799999997</v>
      </c>
    </row>
    <row r="150" spans="1:18" ht="15" thickBot="1">
      <c r="A150">
        <f t="shared" si="15"/>
        <v>29</v>
      </c>
      <c r="B150" s="4" t="s">
        <v>87</v>
      </c>
      <c r="G150" s="73">
        <v>548.54999999999995</v>
      </c>
      <c r="H150" s="97">
        <f t="shared" si="13"/>
        <v>647.28899999999987</v>
      </c>
      <c r="I150" s="313">
        <f t="shared" si="9"/>
        <v>679.00616099999979</v>
      </c>
      <c r="J150" s="148"/>
      <c r="K150">
        <f t="shared" si="14"/>
        <v>92</v>
      </c>
      <c r="L150" s="4" t="s">
        <v>88</v>
      </c>
      <c r="M150" s="84">
        <v>543.375</v>
      </c>
      <c r="N150" s="97">
        <f>SUM(M150*1.29)</f>
        <v>700.95375000000001</v>
      </c>
      <c r="O150" s="313">
        <f t="shared" si="11"/>
        <v>735.30048375000001</v>
      </c>
    </row>
    <row r="151" spans="1:18" ht="15" thickBot="1">
      <c r="A151">
        <f t="shared" si="15"/>
        <v>30</v>
      </c>
      <c r="B151" s="4" t="s">
        <v>89</v>
      </c>
      <c r="G151" s="73">
        <v>802.12499999999989</v>
      </c>
      <c r="H151" s="97">
        <f t="shared" si="13"/>
        <v>946.50749999999982</v>
      </c>
      <c r="I151" s="313">
        <f t="shared" si="9"/>
        <v>992.88636749999978</v>
      </c>
      <c r="J151" s="148"/>
      <c r="K151">
        <f t="shared" si="14"/>
        <v>93</v>
      </c>
      <c r="L151" t="s">
        <v>90</v>
      </c>
      <c r="M151" s="84">
        <v>362.25</v>
      </c>
      <c r="N151" s="97">
        <f t="shared" si="10"/>
        <v>427.45499999999998</v>
      </c>
      <c r="O151" s="313">
        <f t="shared" si="11"/>
        <v>448.40029499999997</v>
      </c>
      <c r="P151" s="1" t="s">
        <v>217</v>
      </c>
    </row>
    <row r="152" spans="1:18" ht="15" thickBot="1">
      <c r="A152">
        <f t="shared" si="15"/>
        <v>31</v>
      </c>
      <c r="B152" t="s">
        <v>91</v>
      </c>
      <c r="G152" s="73">
        <v>-95</v>
      </c>
      <c r="H152" s="97">
        <f t="shared" si="13"/>
        <v>-112.1</v>
      </c>
      <c r="I152" s="313">
        <f t="shared" si="9"/>
        <v>-117.59289999999999</v>
      </c>
      <c r="J152" s="148"/>
      <c r="K152">
        <f t="shared" si="14"/>
        <v>94</v>
      </c>
      <c r="L152" s="4" t="s">
        <v>92</v>
      </c>
      <c r="M152" s="84">
        <v>465.74999999999994</v>
      </c>
      <c r="N152" s="97">
        <f t="shared" si="10"/>
        <v>549.58499999999992</v>
      </c>
      <c r="O152" s="313">
        <f t="shared" si="11"/>
        <v>576.51466499999992</v>
      </c>
    </row>
    <row r="153" spans="1:18" ht="15" thickBot="1">
      <c r="A153">
        <f t="shared" si="15"/>
        <v>32</v>
      </c>
      <c r="B153" t="s">
        <v>93</v>
      </c>
      <c r="G153" s="73">
        <v>-95</v>
      </c>
      <c r="H153" s="97">
        <f t="shared" si="13"/>
        <v>-112.1</v>
      </c>
      <c r="I153" s="313">
        <f t="shared" si="9"/>
        <v>-117.59289999999999</v>
      </c>
      <c r="J153" s="148"/>
      <c r="K153">
        <f t="shared" si="14"/>
        <v>95</v>
      </c>
      <c r="L153" t="s">
        <v>94</v>
      </c>
      <c r="M153" s="84">
        <v>170.77499999999998</v>
      </c>
      <c r="N153" s="97">
        <f t="shared" si="10"/>
        <v>201.51449999999997</v>
      </c>
      <c r="O153" s="313">
        <f t="shared" si="11"/>
        <v>211.38871049999995</v>
      </c>
    </row>
    <row r="154" spans="1:18" ht="15" thickBot="1">
      <c r="A154">
        <f t="shared" si="15"/>
        <v>33</v>
      </c>
      <c r="B154" t="s">
        <v>95</v>
      </c>
      <c r="G154" s="73">
        <v>1655.9999999999998</v>
      </c>
      <c r="H154" s="97">
        <f t="shared" si="13"/>
        <v>1954.0799999999997</v>
      </c>
      <c r="I154" s="313">
        <f t="shared" si="9"/>
        <v>2049.8299199999997</v>
      </c>
      <c r="J154" s="148"/>
      <c r="K154">
        <f t="shared" si="14"/>
        <v>96</v>
      </c>
      <c r="L154" t="s">
        <v>96</v>
      </c>
      <c r="M154" s="84">
        <v>4533.2999999999993</v>
      </c>
      <c r="N154" s="97">
        <f t="shared" si="10"/>
        <v>5349.293999999999</v>
      </c>
      <c r="O154" s="313">
        <f t="shared" si="11"/>
        <v>5611.4094059999989</v>
      </c>
    </row>
    <row r="155" spans="1:18" ht="15" thickBot="1">
      <c r="A155">
        <f t="shared" si="15"/>
        <v>34</v>
      </c>
      <c r="B155" t="s">
        <v>97</v>
      </c>
      <c r="G155" s="73">
        <v>2980.7999999999997</v>
      </c>
      <c r="H155" s="97">
        <f t="shared" si="13"/>
        <v>3517.3439999999996</v>
      </c>
      <c r="I155" s="313">
        <f t="shared" si="9"/>
        <v>3689.6938559999994</v>
      </c>
      <c r="J155" s="148"/>
      <c r="K155">
        <f t="shared" si="14"/>
        <v>97</v>
      </c>
      <c r="L155" t="s">
        <v>98</v>
      </c>
      <c r="M155" s="84">
        <v>2438</v>
      </c>
      <c r="N155" s="97">
        <f t="shared" si="10"/>
        <v>2876.8399999999997</v>
      </c>
      <c r="O155" s="313">
        <f t="shared" si="11"/>
        <v>3017.8051599999994</v>
      </c>
      <c r="P155" s="7" t="s">
        <v>218</v>
      </c>
    </row>
    <row r="156" spans="1:18" ht="15" thickBot="1">
      <c r="A156">
        <f t="shared" si="15"/>
        <v>35</v>
      </c>
      <c r="B156" t="s">
        <v>99</v>
      </c>
      <c r="G156" s="73">
        <v>719.32499999999993</v>
      </c>
      <c r="H156" s="97">
        <f t="shared" si="13"/>
        <v>848.80349999999987</v>
      </c>
      <c r="I156" s="313">
        <f t="shared" si="9"/>
        <v>890.39487149999979</v>
      </c>
      <c r="J156" s="188"/>
      <c r="K156">
        <f t="shared" si="14"/>
        <v>98</v>
      </c>
      <c r="L156" s="4" t="s">
        <v>100</v>
      </c>
      <c r="M156" s="84">
        <v>3110.1749999999997</v>
      </c>
      <c r="N156" s="97">
        <f t="shared" si="10"/>
        <v>3670.0064999999995</v>
      </c>
      <c r="O156" s="313">
        <f t="shared" si="11"/>
        <v>3849.836818499999</v>
      </c>
    </row>
    <row r="157" spans="1:18" ht="15" thickBot="1">
      <c r="A157">
        <f t="shared" si="15"/>
        <v>36</v>
      </c>
      <c r="B157" t="s">
        <v>101</v>
      </c>
      <c r="G157" s="73">
        <v>879.74999999999989</v>
      </c>
      <c r="H157" s="97">
        <f t="shared" si="13"/>
        <v>1038.1049999999998</v>
      </c>
      <c r="I157" s="313">
        <f t="shared" si="9"/>
        <v>1088.9721449999997</v>
      </c>
      <c r="J157" s="188"/>
      <c r="K157">
        <f t="shared" si="14"/>
        <v>99</v>
      </c>
      <c r="L157" s="4" t="s">
        <v>102</v>
      </c>
      <c r="M157" s="84">
        <v>6830.9999999999991</v>
      </c>
      <c r="N157" s="97">
        <f t="shared" si="10"/>
        <v>8060.5799999999981</v>
      </c>
      <c r="O157" s="313">
        <f t="shared" si="11"/>
        <v>8455.5484199999973</v>
      </c>
      <c r="R157" s="4"/>
    </row>
    <row r="158" spans="1:18" ht="15" thickBot="1">
      <c r="A158">
        <f t="shared" si="15"/>
        <v>37</v>
      </c>
      <c r="B158" t="s">
        <v>103</v>
      </c>
      <c r="G158" s="73">
        <v>10.35</v>
      </c>
      <c r="H158" s="97">
        <f t="shared" si="13"/>
        <v>12.212999999999999</v>
      </c>
      <c r="I158" s="313">
        <f t="shared" si="9"/>
        <v>12.811436999999998</v>
      </c>
      <c r="J158" s="148"/>
      <c r="K158">
        <f t="shared" si="14"/>
        <v>100</v>
      </c>
      <c r="L158" s="4" t="s">
        <v>104</v>
      </c>
      <c r="M158" s="84">
        <v>8280</v>
      </c>
      <c r="N158" s="97">
        <f t="shared" si="10"/>
        <v>9770.4</v>
      </c>
      <c r="O158" s="313">
        <f t="shared" si="11"/>
        <v>10249.149599999999</v>
      </c>
      <c r="R158" s="4"/>
    </row>
    <row r="159" spans="1:18" ht="15" thickBot="1">
      <c r="A159">
        <f t="shared" si="15"/>
        <v>38</v>
      </c>
      <c r="B159" t="s">
        <v>105</v>
      </c>
      <c r="G159" s="73">
        <v>10.35</v>
      </c>
      <c r="H159" s="97">
        <f t="shared" si="13"/>
        <v>12.212999999999999</v>
      </c>
      <c r="I159" s="313">
        <f t="shared" si="9"/>
        <v>12.811436999999998</v>
      </c>
      <c r="J159" s="148"/>
      <c r="K159">
        <f t="shared" si="14"/>
        <v>101</v>
      </c>
      <c r="L159" t="s">
        <v>106</v>
      </c>
      <c r="M159" s="84">
        <v>5815</v>
      </c>
      <c r="N159" s="97">
        <f t="shared" si="10"/>
        <v>6861.7</v>
      </c>
      <c r="O159" s="313">
        <f t="shared" si="11"/>
        <v>7197.9232999999995</v>
      </c>
      <c r="R159" s="4"/>
    </row>
    <row r="160" spans="1:18" ht="15" thickBot="1">
      <c r="A160">
        <f t="shared" si="15"/>
        <v>39</v>
      </c>
      <c r="B160" t="s">
        <v>107</v>
      </c>
      <c r="G160" s="73">
        <v>0</v>
      </c>
      <c r="H160" s="97">
        <f t="shared" si="13"/>
        <v>0</v>
      </c>
      <c r="I160" s="313">
        <f t="shared" si="9"/>
        <v>0</v>
      </c>
      <c r="J160" s="148"/>
      <c r="K160">
        <f t="shared" si="14"/>
        <v>102</v>
      </c>
      <c r="L160" s="4" t="s">
        <v>108</v>
      </c>
      <c r="M160" s="112" t="s">
        <v>57</v>
      </c>
      <c r="N160" s="97" t="s">
        <v>192</v>
      </c>
      <c r="O160" s="313" t="e">
        <f t="shared" si="11"/>
        <v>#VALUE!</v>
      </c>
      <c r="R160" s="4"/>
    </row>
    <row r="161" spans="1:18" ht="15" thickBot="1">
      <c r="A161">
        <f t="shared" si="15"/>
        <v>40</v>
      </c>
      <c r="B161" t="s">
        <v>109</v>
      </c>
      <c r="G161" s="73">
        <v>950</v>
      </c>
      <c r="H161" s="97">
        <f t="shared" si="13"/>
        <v>1121</v>
      </c>
      <c r="I161" s="313">
        <f t="shared" si="9"/>
        <v>1175.9289999999999</v>
      </c>
      <c r="J161" s="148"/>
      <c r="K161">
        <f t="shared" si="14"/>
        <v>103</v>
      </c>
      <c r="L161" s="4" t="s">
        <v>110</v>
      </c>
      <c r="M161" s="84">
        <v>905.62499999999989</v>
      </c>
      <c r="N161" s="97">
        <f t="shared" si="10"/>
        <v>1068.6374999999998</v>
      </c>
      <c r="O161" s="313">
        <f t="shared" si="11"/>
        <v>1121.0007374999998</v>
      </c>
      <c r="R161" s="4"/>
    </row>
    <row r="162" spans="1:18" ht="15" thickBot="1">
      <c r="A162">
        <f t="shared" si="15"/>
        <v>41</v>
      </c>
      <c r="B162" t="s">
        <v>111</v>
      </c>
      <c r="G162" s="73">
        <v>1485</v>
      </c>
      <c r="H162" s="97">
        <f t="shared" si="13"/>
        <v>1752.3</v>
      </c>
      <c r="I162" s="313">
        <f t="shared" si="9"/>
        <v>1838.1626999999999</v>
      </c>
      <c r="J162" s="188"/>
      <c r="K162">
        <f t="shared" si="14"/>
        <v>104</v>
      </c>
      <c r="L162" s="4" t="s">
        <v>112</v>
      </c>
      <c r="M162" s="84">
        <v>77.625</v>
      </c>
      <c r="N162" s="97">
        <f t="shared" si="10"/>
        <v>91.597499999999997</v>
      </c>
      <c r="O162" s="313">
        <f t="shared" si="11"/>
        <v>96.085777499999992</v>
      </c>
      <c r="R162" s="4"/>
    </row>
    <row r="163" spans="1:18" ht="15" thickBot="1">
      <c r="A163">
        <f t="shared" si="15"/>
        <v>42</v>
      </c>
      <c r="B163" s="4" t="s">
        <v>113</v>
      </c>
      <c r="G163" s="76">
        <v>300</v>
      </c>
      <c r="H163" s="97">
        <f t="shared" si="13"/>
        <v>354</v>
      </c>
      <c r="I163" s="313">
        <f t="shared" si="9"/>
        <v>371.346</v>
      </c>
      <c r="J163" s="189"/>
      <c r="K163">
        <f t="shared" si="14"/>
        <v>105</v>
      </c>
      <c r="L163" t="s">
        <v>114</v>
      </c>
      <c r="M163" s="84">
        <v>3619</v>
      </c>
      <c r="N163" s="97">
        <f t="shared" si="10"/>
        <v>4270.42</v>
      </c>
      <c r="O163" s="313">
        <f t="shared" si="11"/>
        <v>4479.67058</v>
      </c>
      <c r="R163" s="4"/>
    </row>
    <row r="164" spans="1:18" ht="15" thickBot="1">
      <c r="A164">
        <f t="shared" si="15"/>
        <v>43</v>
      </c>
      <c r="B164" s="4" t="s">
        <v>115</v>
      </c>
      <c r="G164" s="73">
        <v>-20</v>
      </c>
      <c r="H164" s="97">
        <f t="shared" si="13"/>
        <v>-23.599999999999998</v>
      </c>
      <c r="I164" s="313">
        <f t="shared" si="9"/>
        <v>-24.756399999999996</v>
      </c>
      <c r="J164" s="188"/>
      <c r="K164">
        <f t="shared" si="14"/>
        <v>106</v>
      </c>
      <c r="L164" t="s">
        <v>116</v>
      </c>
      <c r="M164" s="84">
        <v>4896</v>
      </c>
      <c r="N164" s="97">
        <f t="shared" si="10"/>
        <v>5777.28</v>
      </c>
      <c r="O164" s="313">
        <f t="shared" si="11"/>
        <v>6060.3667199999991</v>
      </c>
      <c r="R164" s="4"/>
    </row>
    <row r="165" spans="1:18" ht="15" thickBot="1">
      <c r="A165">
        <f t="shared" si="15"/>
        <v>44</v>
      </c>
      <c r="B165" s="4" t="s">
        <v>117</v>
      </c>
      <c r="G165" s="73">
        <v>-100</v>
      </c>
      <c r="H165" s="97">
        <f t="shared" si="13"/>
        <v>-118</v>
      </c>
      <c r="I165" s="313">
        <f t="shared" si="9"/>
        <v>-123.782</v>
      </c>
      <c r="J165" s="148"/>
      <c r="K165">
        <f t="shared" si="14"/>
        <v>107</v>
      </c>
      <c r="L165" t="s">
        <v>118</v>
      </c>
      <c r="M165" s="84">
        <v>6310</v>
      </c>
      <c r="N165" s="97">
        <f t="shared" si="10"/>
        <v>7445.7999999999993</v>
      </c>
      <c r="O165" s="313">
        <f t="shared" si="11"/>
        <v>7810.6441999999988</v>
      </c>
      <c r="R165" s="4"/>
    </row>
    <row r="166" spans="1:18" ht="15" thickBot="1">
      <c r="A166">
        <f t="shared" si="15"/>
        <v>45</v>
      </c>
      <c r="B166" t="s">
        <v>119</v>
      </c>
      <c r="G166" s="73">
        <v>258.75</v>
      </c>
      <c r="H166" s="97">
        <f t="shared" si="13"/>
        <v>305.32499999999999</v>
      </c>
      <c r="I166" s="313">
        <f t="shared" si="9"/>
        <v>320.28592499999996</v>
      </c>
      <c r="J166" s="148"/>
      <c r="K166">
        <f t="shared" si="14"/>
        <v>108</v>
      </c>
      <c r="L166" t="s">
        <v>120</v>
      </c>
      <c r="M166" s="84">
        <v>3097.5</v>
      </c>
      <c r="N166" s="97">
        <f t="shared" si="10"/>
        <v>3655.0499999999997</v>
      </c>
      <c r="O166" s="313">
        <f t="shared" si="11"/>
        <v>3834.1474499999995</v>
      </c>
      <c r="R166" s="4"/>
    </row>
    <row r="167" spans="1:18" ht="15" thickBot="1">
      <c r="A167">
        <f t="shared" si="15"/>
        <v>46</v>
      </c>
      <c r="B167" t="s">
        <v>121</v>
      </c>
      <c r="G167" s="73">
        <v>41.4</v>
      </c>
      <c r="H167" s="97">
        <f t="shared" si="13"/>
        <v>48.851999999999997</v>
      </c>
      <c r="I167" s="313">
        <f t="shared" si="9"/>
        <v>51.245747999999992</v>
      </c>
      <c r="J167" s="148"/>
      <c r="K167">
        <f t="shared" si="14"/>
        <v>109</v>
      </c>
      <c r="L167" t="s">
        <v>122</v>
      </c>
      <c r="M167" s="84">
        <v>1663.75</v>
      </c>
      <c r="N167" s="97">
        <f t="shared" si="10"/>
        <v>1963.2249999999999</v>
      </c>
      <c r="O167" s="313">
        <f t="shared" si="11"/>
        <v>2059.4230249999996</v>
      </c>
      <c r="R167" s="4"/>
    </row>
    <row r="168" spans="1:18" ht="15" thickBot="1">
      <c r="A168">
        <f t="shared" si="15"/>
        <v>47</v>
      </c>
      <c r="B168" t="s">
        <v>123</v>
      </c>
      <c r="G168" s="73">
        <v>150</v>
      </c>
      <c r="H168" s="97">
        <f t="shared" si="13"/>
        <v>177</v>
      </c>
      <c r="I168" s="313">
        <f t="shared" si="9"/>
        <v>185.673</v>
      </c>
      <c r="J168" s="148"/>
      <c r="K168">
        <f t="shared" si="14"/>
        <v>110</v>
      </c>
      <c r="L168" t="s">
        <v>124</v>
      </c>
      <c r="M168" s="84">
        <v>3275</v>
      </c>
      <c r="N168" s="97">
        <f t="shared" si="10"/>
        <v>3864.5</v>
      </c>
      <c r="O168" s="313">
        <f t="shared" si="11"/>
        <v>4053.8604999999998</v>
      </c>
      <c r="R168" s="4"/>
    </row>
    <row r="169" spans="1:18" ht="15" thickBot="1">
      <c r="A169">
        <f t="shared" si="15"/>
        <v>48</v>
      </c>
      <c r="B169" t="s">
        <v>125</v>
      </c>
      <c r="G169" s="73">
        <v>575</v>
      </c>
      <c r="H169" s="97">
        <f t="shared" si="13"/>
        <v>678.5</v>
      </c>
      <c r="I169" s="313">
        <f t="shared" si="9"/>
        <v>711.74649999999997</v>
      </c>
      <c r="J169" s="148"/>
      <c r="K169">
        <f t="shared" si="14"/>
        <v>111</v>
      </c>
      <c r="L169" t="s">
        <v>126</v>
      </c>
      <c r="M169" s="84">
        <v>4195</v>
      </c>
      <c r="N169" s="97">
        <f t="shared" si="10"/>
        <v>4950.0999999999995</v>
      </c>
      <c r="O169" s="313">
        <f t="shared" si="11"/>
        <v>5192.6548999999995</v>
      </c>
      <c r="R169" s="4"/>
    </row>
    <row r="170" spans="1:18" ht="15" thickBot="1">
      <c r="A170">
        <f t="shared" si="15"/>
        <v>49</v>
      </c>
      <c r="B170" t="s">
        <v>127</v>
      </c>
      <c r="G170" s="73">
        <v>165.6</v>
      </c>
      <c r="H170" s="97">
        <f t="shared" si="13"/>
        <v>195.40799999999999</v>
      </c>
      <c r="I170" s="313">
        <f t="shared" si="9"/>
        <v>204.98299199999997</v>
      </c>
      <c r="J170" s="148"/>
      <c r="K170">
        <f t="shared" si="14"/>
        <v>112</v>
      </c>
      <c r="L170" t="s">
        <v>128</v>
      </c>
      <c r="M170" s="84">
        <v>4595</v>
      </c>
      <c r="N170" s="97">
        <f t="shared" si="10"/>
        <v>5422.0999999999995</v>
      </c>
      <c r="O170" s="313">
        <f t="shared" si="11"/>
        <v>5687.7828999999992</v>
      </c>
      <c r="R170" s="4"/>
    </row>
    <row r="171" spans="1:18" ht="15" thickBot="1">
      <c r="A171">
        <f t="shared" si="15"/>
        <v>50</v>
      </c>
      <c r="B171" s="4" t="s">
        <v>129</v>
      </c>
      <c r="G171" s="73">
        <v>12388.949999999999</v>
      </c>
      <c r="H171" s="97">
        <f t="shared" si="13"/>
        <v>14618.960999999998</v>
      </c>
      <c r="I171" s="313">
        <f t="shared" si="9"/>
        <v>15335.290088999996</v>
      </c>
      <c r="J171" s="148"/>
      <c r="K171">
        <f t="shared" si="14"/>
        <v>113</v>
      </c>
      <c r="L171" s="4" t="s">
        <v>130</v>
      </c>
      <c r="M171" s="84">
        <v>3648.3749999999995</v>
      </c>
      <c r="N171" s="97">
        <f t="shared" si="10"/>
        <v>4305.0824999999995</v>
      </c>
      <c r="O171" s="313">
        <f t="shared" si="11"/>
        <v>4516.031542499999</v>
      </c>
      <c r="R171" s="4"/>
    </row>
    <row r="172" spans="1:18" ht="15" thickBot="1">
      <c r="A172">
        <f t="shared" si="15"/>
        <v>51</v>
      </c>
      <c r="B172" s="4" t="s">
        <v>131</v>
      </c>
      <c r="G172" s="73">
        <v>13542.974999999999</v>
      </c>
      <c r="H172" s="97">
        <f t="shared" si="13"/>
        <v>15980.710499999997</v>
      </c>
      <c r="I172" s="313">
        <f t="shared" si="9"/>
        <v>16763.765314499997</v>
      </c>
      <c r="J172" s="148"/>
      <c r="K172">
        <f t="shared" si="14"/>
        <v>114</v>
      </c>
      <c r="L172" s="4" t="s">
        <v>132</v>
      </c>
      <c r="M172" s="84">
        <v>4497.0749999999998</v>
      </c>
      <c r="N172" s="97">
        <f t="shared" si="10"/>
        <v>5306.5484999999999</v>
      </c>
      <c r="O172" s="313">
        <f t="shared" si="11"/>
        <v>5566.5693764999996</v>
      </c>
      <c r="R172" s="4"/>
    </row>
    <row r="173" spans="1:18" ht="15" thickBot="1">
      <c r="A173">
        <f t="shared" si="15"/>
        <v>52</v>
      </c>
      <c r="B173" s="4" t="s">
        <v>133</v>
      </c>
      <c r="G173" s="73">
        <v>12280.275</v>
      </c>
      <c r="H173" s="97">
        <f t="shared" si="13"/>
        <v>14490.724499999998</v>
      </c>
      <c r="I173" s="313">
        <f t="shared" si="9"/>
        <v>15200.770000499997</v>
      </c>
      <c r="J173" s="148"/>
      <c r="K173">
        <f t="shared" si="14"/>
        <v>115</v>
      </c>
      <c r="L173" s="4" t="s">
        <v>134</v>
      </c>
      <c r="M173" s="84">
        <v>1552.4999999999998</v>
      </c>
      <c r="N173" s="97">
        <f t="shared" si="10"/>
        <v>1831.9499999999996</v>
      </c>
      <c r="O173" s="313">
        <f t="shared" si="11"/>
        <v>1921.7155499999994</v>
      </c>
      <c r="R173" s="4"/>
    </row>
    <row r="174" spans="1:18" ht="15" thickBot="1">
      <c r="A174">
        <f t="shared" si="15"/>
        <v>53</v>
      </c>
      <c r="B174" s="4" t="s">
        <v>135</v>
      </c>
      <c r="G174" s="73">
        <v>12347.55</v>
      </c>
      <c r="H174" s="97">
        <f t="shared" si="13"/>
        <v>14570.108999999999</v>
      </c>
      <c r="I174" s="313">
        <f t="shared" si="9"/>
        <v>15284.044340999997</v>
      </c>
      <c r="J174" s="148"/>
      <c r="K174">
        <f t="shared" si="14"/>
        <v>116</v>
      </c>
      <c r="L174" s="4" t="s">
        <v>136</v>
      </c>
      <c r="M174" s="84">
        <v>900</v>
      </c>
      <c r="N174" s="97">
        <f t="shared" si="10"/>
        <v>1062</v>
      </c>
      <c r="O174" s="313">
        <f t="shared" si="11"/>
        <v>1114.038</v>
      </c>
      <c r="R174" s="4"/>
    </row>
    <row r="175" spans="1:18" ht="15" thickBot="1">
      <c r="A175">
        <f t="shared" si="15"/>
        <v>54</v>
      </c>
      <c r="B175" s="4" t="s">
        <v>137</v>
      </c>
      <c r="G175" s="75" t="s">
        <v>32</v>
      </c>
      <c r="H175" s="97" t="s">
        <v>32</v>
      </c>
      <c r="I175" s="313"/>
      <c r="J175" s="188"/>
      <c r="K175">
        <f t="shared" si="14"/>
        <v>117</v>
      </c>
      <c r="L175" t="s">
        <v>138</v>
      </c>
      <c r="M175" s="84">
        <v>5723.5499999999993</v>
      </c>
      <c r="N175" s="97">
        <f t="shared" si="10"/>
        <v>6753.7889999999989</v>
      </c>
      <c r="O175" s="313">
        <f t="shared" si="11"/>
        <v>7084.7246609999984</v>
      </c>
      <c r="R175" s="4"/>
    </row>
    <row r="176" spans="1:18" ht="15" thickBot="1">
      <c r="A176">
        <f t="shared" si="15"/>
        <v>55</v>
      </c>
      <c r="B176" s="4" t="s">
        <v>139</v>
      </c>
      <c r="G176" s="73">
        <v>7550.3249999999998</v>
      </c>
      <c r="H176" s="97">
        <f>SUM(G176*1.18)</f>
        <v>8909.3834999999999</v>
      </c>
      <c r="I176" s="313">
        <f t="shared" si="9"/>
        <v>9345.9432914999998</v>
      </c>
      <c r="J176" s="148"/>
      <c r="K176">
        <f t="shared" si="14"/>
        <v>118</v>
      </c>
      <c r="L176" t="s">
        <v>140</v>
      </c>
      <c r="M176" s="84">
        <v>2007.8999999999999</v>
      </c>
      <c r="N176" s="97">
        <f t="shared" si="10"/>
        <v>2369.3219999999997</v>
      </c>
      <c r="O176" s="313">
        <f t="shared" si="11"/>
        <v>2485.4187779999993</v>
      </c>
      <c r="R176" s="4"/>
    </row>
    <row r="177" spans="1:19" ht="15" thickBot="1">
      <c r="A177">
        <f t="shared" si="15"/>
        <v>56</v>
      </c>
      <c r="B177" s="4" t="s">
        <v>141</v>
      </c>
      <c r="G177" s="73">
        <v>9014.8499999999985</v>
      </c>
      <c r="H177" s="97">
        <f t="shared" si="13"/>
        <v>10637.522999999997</v>
      </c>
      <c r="I177" s="313">
        <f t="shared" si="9"/>
        <v>11158.761626999996</v>
      </c>
      <c r="J177" s="148"/>
      <c r="K177">
        <f t="shared" si="14"/>
        <v>119</v>
      </c>
      <c r="L177" t="s">
        <v>142</v>
      </c>
      <c r="M177" s="84">
        <v>11229.75</v>
      </c>
      <c r="N177" s="97">
        <f t="shared" si="10"/>
        <v>13251.105</v>
      </c>
      <c r="O177" s="313">
        <f t="shared" si="11"/>
        <v>13900.409144999998</v>
      </c>
      <c r="R177" s="4"/>
    </row>
    <row r="178" spans="1:19" ht="15" thickBot="1">
      <c r="A178">
        <f t="shared" si="15"/>
        <v>57</v>
      </c>
      <c r="B178" s="4" t="s">
        <v>143</v>
      </c>
      <c r="G178" s="73">
        <v>9816.9749999999985</v>
      </c>
      <c r="H178" s="97">
        <f t="shared" si="13"/>
        <v>11584.030499999997</v>
      </c>
      <c r="I178" s="313">
        <f t="shared" si="9"/>
        <v>12151.647994499996</v>
      </c>
      <c r="J178" s="148"/>
      <c r="K178">
        <f t="shared" si="14"/>
        <v>120</v>
      </c>
      <c r="L178" s="4" t="s">
        <v>144</v>
      </c>
      <c r="M178" s="84">
        <v>4497.0749999999998</v>
      </c>
      <c r="N178" s="97">
        <f t="shared" si="10"/>
        <v>5306.5484999999999</v>
      </c>
      <c r="O178" s="313">
        <f t="shared" si="11"/>
        <v>5566.5693764999996</v>
      </c>
      <c r="R178" s="4"/>
    </row>
    <row r="179" spans="1:19" ht="15" thickBot="1">
      <c r="A179">
        <f t="shared" si="15"/>
        <v>58</v>
      </c>
      <c r="B179" s="4" t="s">
        <v>145</v>
      </c>
      <c r="G179" s="73">
        <v>13677.525</v>
      </c>
      <c r="H179" s="97">
        <f t="shared" si="13"/>
        <v>16139.479499999999</v>
      </c>
      <c r="I179" s="313">
        <f t="shared" si="9"/>
        <v>16930.313995499997</v>
      </c>
      <c r="J179" s="148"/>
      <c r="K179">
        <f t="shared" si="14"/>
        <v>121</v>
      </c>
      <c r="L179" s="12" t="s">
        <v>146</v>
      </c>
      <c r="M179" s="84">
        <v>6830.9999999999991</v>
      </c>
      <c r="N179" s="97">
        <f t="shared" si="10"/>
        <v>8060.5799999999981</v>
      </c>
      <c r="O179" s="1" t="s">
        <v>702</v>
      </c>
      <c r="R179" s="4"/>
      <c r="S179" s="4"/>
    </row>
    <row r="180" spans="1:19" ht="15" thickBot="1">
      <c r="A180">
        <f t="shared" si="15"/>
        <v>59</v>
      </c>
      <c r="B180" s="4" t="s">
        <v>147</v>
      </c>
      <c r="G180" s="73">
        <v>15214.499999999998</v>
      </c>
      <c r="H180" s="97">
        <f t="shared" si="13"/>
        <v>17953.109999999997</v>
      </c>
      <c r="I180" s="313">
        <f t="shared" si="9"/>
        <v>18832.812389999996</v>
      </c>
      <c r="J180" s="148"/>
      <c r="K180">
        <f t="shared" si="14"/>
        <v>122</v>
      </c>
      <c r="L180" s="4" t="s">
        <v>148</v>
      </c>
      <c r="M180" s="84">
        <v>1676.6999999999998</v>
      </c>
      <c r="N180" s="97">
        <f t="shared" si="10"/>
        <v>1978.5059999999996</v>
      </c>
      <c r="O180" s="313">
        <f t="shared" si="11"/>
        <v>2075.4527939999994</v>
      </c>
      <c r="R180" s="4"/>
      <c r="S180" s="4"/>
    </row>
    <row r="181" spans="1:19" ht="15" thickBot="1">
      <c r="A181">
        <f t="shared" si="15"/>
        <v>60</v>
      </c>
      <c r="B181" s="4" t="s">
        <v>149</v>
      </c>
      <c r="G181" s="73">
        <v>5951.2499999999991</v>
      </c>
      <c r="H181" s="97" t="s">
        <v>32</v>
      </c>
      <c r="I181" s="313"/>
      <c r="J181" s="188"/>
      <c r="K181">
        <f t="shared" si="14"/>
        <v>123</v>
      </c>
      <c r="L181" t="s">
        <v>150</v>
      </c>
      <c r="M181" s="84">
        <v>200</v>
      </c>
      <c r="N181" s="97">
        <f t="shared" si="10"/>
        <v>236</v>
      </c>
      <c r="O181" s="313">
        <f t="shared" si="11"/>
        <v>247.56399999999999</v>
      </c>
      <c r="R181" s="4"/>
      <c r="S181" s="4"/>
    </row>
    <row r="182" spans="1:19" ht="15" thickBot="1">
      <c r="A182">
        <f t="shared" si="15"/>
        <v>61</v>
      </c>
      <c r="B182" s="4" t="s">
        <v>151</v>
      </c>
      <c r="G182" s="73">
        <v>6675.7499999999991</v>
      </c>
      <c r="H182" s="97" t="s">
        <v>32</v>
      </c>
      <c r="I182" s="313"/>
      <c r="J182" s="188"/>
      <c r="K182">
        <f t="shared" si="14"/>
        <v>124</v>
      </c>
      <c r="L182" t="s">
        <v>152</v>
      </c>
      <c r="M182" s="84">
        <v>200</v>
      </c>
      <c r="N182" s="97">
        <f t="shared" si="10"/>
        <v>236</v>
      </c>
      <c r="O182" s="313">
        <f t="shared" si="11"/>
        <v>247.56399999999999</v>
      </c>
      <c r="R182" s="4"/>
      <c r="S182" s="4"/>
    </row>
    <row r="183" spans="1:19" ht="15" thickBot="1">
      <c r="A183">
        <f t="shared" si="15"/>
        <v>62</v>
      </c>
      <c r="B183" s="4" t="s">
        <v>153</v>
      </c>
      <c r="G183" s="73">
        <v>7157.0249999999996</v>
      </c>
      <c r="H183" s="97" t="s">
        <v>32</v>
      </c>
      <c r="I183" s="313"/>
      <c r="J183" s="188"/>
      <c r="K183">
        <f t="shared" si="14"/>
        <v>125</v>
      </c>
      <c r="L183" t="s">
        <v>154</v>
      </c>
      <c r="M183" s="84">
        <v>300</v>
      </c>
      <c r="N183" s="97">
        <f t="shared" si="10"/>
        <v>354</v>
      </c>
      <c r="O183" s="313">
        <f t="shared" si="11"/>
        <v>371.346</v>
      </c>
      <c r="R183" s="4"/>
      <c r="S183" s="4"/>
    </row>
    <row r="184" spans="1:19" ht="15" thickBot="1">
      <c r="A184">
        <f t="shared" si="15"/>
        <v>63</v>
      </c>
      <c r="B184" s="4" t="s">
        <v>155</v>
      </c>
      <c r="G184" s="73">
        <v>9108</v>
      </c>
      <c r="H184" s="97" t="s">
        <v>32</v>
      </c>
      <c r="I184" s="313"/>
      <c r="J184" s="188"/>
      <c r="K184">
        <f t="shared" si="14"/>
        <v>126</v>
      </c>
      <c r="L184" t="s">
        <v>156</v>
      </c>
      <c r="M184" s="84">
        <v>300</v>
      </c>
      <c r="N184" s="97">
        <f t="shared" si="10"/>
        <v>354</v>
      </c>
      <c r="O184" s="313">
        <f t="shared" si="11"/>
        <v>371.346</v>
      </c>
      <c r="R184" s="4"/>
      <c r="S184" s="4"/>
    </row>
    <row r="185" spans="1:19" ht="15" thickBot="1">
      <c r="H185" s="61"/>
      <c r="I185" s="61"/>
      <c r="J185" s="61"/>
      <c r="K185">
        <f>(K184+1)</f>
        <v>127</v>
      </c>
      <c r="L185" t="s">
        <v>157</v>
      </c>
      <c r="M185" s="84">
        <v>550</v>
      </c>
      <c r="N185" s="97">
        <f t="shared" si="10"/>
        <v>649</v>
      </c>
      <c r="O185" s="313">
        <f t="shared" si="11"/>
        <v>680.80099999999993</v>
      </c>
    </row>
    <row r="186" spans="1:19" ht="15" thickBot="1">
      <c r="H186" s="61"/>
      <c r="I186" s="61"/>
      <c r="J186" s="61"/>
      <c r="K186">
        <f t="shared" si="14"/>
        <v>128</v>
      </c>
      <c r="L186" t="s">
        <v>158</v>
      </c>
      <c r="M186" s="84">
        <v>1460</v>
      </c>
      <c r="N186" s="97">
        <f>SUM(M186*1.39)</f>
        <v>2029.3999999999999</v>
      </c>
      <c r="O186" s="313">
        <f t="shared" ref="O186:O195" si="16">N186*1.049</f>
        <v>2128.8405999999995</v>
      </c>
    </row>
    <row r="187" spans="1:19" ht="15" thickBot="1">
      <c r="H187" s="61"/>
      <c r="I187" s="61"/>
      <c r="J187" s="61"/>
      <c r="K187">
        <f>(K186+1)</f>
        <v>129</v>
      </c>
      <c r="L187" t="s">
        <v>160</v>
      </c>
      <c r="M187" s="159">
        <v>1770</v>
      </c>
      <c r="N187" s="97">
        <f>SUM(M187*1.39)</f>
        <v>2460.2999999999997</v>
      </c>
      <c r="O187" s="313">
        <f t="shared" si="16"/>
        <v>2580.8546999999994</v>
      </c>
    </row>
    <row r="188" spans="1:19" ht="15" thickBot="1">
      <c r="H188" s="61"/>
      <c r="I188" s="61"/>
      <c r="J188" s="61"/>
      <c r="K188">
        <f>(K187+1)</f>
        <v>130</v>
      </c>
      <c r="L188" t="s">
        <v>161</v>
      </c>
      <c r="M188" s="84">
        <v>1769.85</v>
      </c>
      <c r="N188" s="97">
        <f>SUM(M188*1.39)</f>
        <v>2460.0914999999995</v>
      </c>
      <c r="O188" s="313">
        <f t="shared" si="16"/>
        <v>2580.6359834999994</v>
      </c>
    </row>
    <row r="189" spans="1:19" ht="15" thickBot="1">
      <c r="H189" s="61"/>
      <c r="I189" s="61"/>
      <c r="J189" s="61"/>
      <c r="K189">
        <f>(K188+1)</f>
        <v>131</v>
      </c>
      <c r="L189" t="s">
        <v>162</v>
      </c>
      <c r="M189" s="84">
        <v>1875</v>
      </c>
      <c r="N189" s="97">
        <f>SUM(M189*1.39)</f>
        <v>2606.25</v>
      </c>
      <c r="O189" s="313">
        <f t="shared" si="16"/>
        <v>2733.9562499999997</v>
      </c>
    </row>
    <row r="190" spans="1:19" ht="15" thickBot="1">
      <c r="H190" s="61"/>
      <c r="I190" s="61"/>
      <c r="J190" s="61"/>
      <c r="K190">
        <f>(K189+1)</f>
        <v>132</v>
      </c>
      <c r="L190" t="s">
        <v>163</v>
      </c>
      <c r="M190" s="84">
        <v>4250</v>
      </c>
      <c r="N190" s="97">
        <f t="shared" ref="N190:N195" si="17">SUM(M190*1.18)</f>
        <v>5015</v>
      </c>
      <c r="O190" s="313">
        <f t="shared" si="16"/>
        <v>5260.7349999999997</v>
      </c>
      <c r="P190" s="1" t="s">
        <v>703</v>
      </c>
    </row>
    <row r="191" spans="1:19" ht="15" thickBot="1">
      <c r="H191" s="61"/>
      <c r="I191" s="61"/>
      <c r="J191" s="61"/>
      <c r="K191">
        <f>(K190+1)</f>
        <v>133</v>
      </c>
      <c r="L191" t="s">
        <v>164</v>
      </c>
      <c r="M191" s="84">
        <v>2815</v>
      </c>
      <c r="N191" s="97">
        <f>SUM(M191*1.22)</f>
        <v>3434.2999999999997</v>
      </c>
      <c r="O191" s="313">
        <f t="shared" si="16"/>
        <v>3602.5806999999995</v>
      </c>
    </row>
    <row r="192" spans="1:19" ht="15" thickBot="1">
      <c r="H192" s="61"/>
      <c r="I192" s="61"/>
      <c r="J192" s="61"/>
      <c r="K192">
        <v>134</v>
      </c>
      <c r="L192" t="s">
        <v>165</v>
      </c>
      <c r="M192" s="84">
        <v>129.375</v>
      </c>
      <c r="N192" s="97">
        <f t="shared" si="17"/>
        <v>152.66249999999999</v>
      </c>
      <c r="O192" s="313">
        <f t="shared" si="16"/>
        <v>160.14296249999998</v>
      </c>
    </row>
    <row r="193" spans="2:19" ht="15" thickBot="1">
      <c r="H193" s="61"/>
      <c r="I193" s="61"/>
      <c r="J193" s="61"/>
      <c r="K193">
        <v>135</v>
      </c>
      <c r="L193" t="s">
        <v>166</v>
      </c>
      <c r="M193" s="84">
        <v>382.95</v>
      </c>
      <c r="N193" s="97">
        <f t="shared" si="17"/>
        <v>451.88099999999997</v>
      </c>
      <c r="O193" s="313">
        <f t="shared" si="16"/>
        <v>474.02316899999994</v>
      </c>
      <c r="R193" s="49"/>
    </row>
    <row r="194" spans="2:19" ht="15" thickBot="1">
      <c r="H194" s="61"/>
      <c r="I194" s="61"/>
      <c r="J194" s="61"/>
      <c r="K194">
        <v>136</v>
      </c>
      <c r="L194" t="s">
        <v>167</v>
      </c>
      <c r="M194" s="84">
        <v>2038.9499999999998</v>
      </c>
      <c r="N194" s="97">
        <f t="shared" si="17"/>
        <v>2405.9609999999998</v>
      </c>
      <c r="O194" s="313">
        <f t="shared" si="16"/>
        <v>2523.8530889999997</v>
      </c>
      <c r="R194" s="49"/>
    </row>
    <row r="195" spans="2:19" ht="15" thickBot="1">
      <c r="H195" s="61"/>
      <c r="I195" s="61"/>
      <c r="J195" s="61"/>
      <c r="K195">
        <v>137</v>
      </c>
      <c r="L195" t="s">
        <v>168</v>
      </c>
      <c r="M195" s="84">
        <v>46.574999999999996</v>
      </c>
      <c r="N195" s="97">
        <f t="shared" si="17"/>
        <v>54.958499999999994</v>
      </c>
      <c r="O195" s="313">
        <f t="shared" si="16"/>
        <v>57.651466499999991</v>
      </c>
      <c r="R195" s="49"/>
    </row>
    <row r="196" spans="2:19">
      <c r="H196" s="61"/>
      <c r="I196" s="61"/>
      <c r="J196" s="61"/>
      <c r="M196" s="61"/>
      <c r="N196" s="61"/>
      <c r="R196" s="49"/>
    </row>
    <row r="197" spans="2:19">
      <c r="B197" s="1" t="s">
        <v>203</v>
      </c>
      <c r="G197" s="313"/>
      <c r="H197" s="1" t="s">
        <v>888</v>
      </c>
      <c r="J197" s="61"/>
      <c r="M197" s="61"/>
      <c r="N197" s="61"/>
      <c r="R197" s="49"/>
    </row>
    <row r="198" spans="2:19">
      <c r="H198" s="61"/>
      <c r="I198" s="61"/>
      <c r="J198" s="61"/>
      <c r="M198" s="61"/>
      <c r="N198" s="61"/>
      <c r="R198" s="49"/>
    </row>
    <row r="199" spans="2:19" ht="15" thickBot="1">
      <c r="B199" s="1" t="s">
        <v>1</v>
      </c>
      <c r="G199" s="13" t="s">
        <v>174</v>
      </c>
      <c r="H199" s="56"/>
      <c r="I199" s="56" t="s">
        <v>753</v>
      </c>
      <c r="J199" s="61"/>
      <c r="L199" s="1" t="s">
        <v>755</v>
      </c>
      <c r="M199" s="65"/>
      <c r="N199" s="61"/>
      <c r="Q199" s="14"/>
      <c r="R199" s="49"/>
    </row>
    <row r="200" spans="2:19">
      <c r="G200" s="14"/>
      <c r="H200" s="65"/>
      <c r="I200" s="65"/>
      <c r="J200" s="61"/>
      <c r="M200" s="65"/>
      <c r="N200" s="61"/>
      <c r="Q200" s="14"/>
      <c r="R200" s="49"/>
    </row>
    <row r="201" spans="2:19" ht="15" thickBot="1">
      <c r="B201" s="1" t="s">
        <v>2</v>
      </c>
      <c r="G201" s="13" t="s">
        <v>175</v>
      </c>
      <c r="H201" s="56"/>
      <c r="I201" s="56"/>
      <c r="J201" s="61"/>
      <c r="M201" s="65"/>
      <c r="N201" s="61"/>
      <c r="P201" s="1" t="s">
        <v>176</v>
      </c>
      <c r="Q201" s="14"/>
      <c r="R201" s="49"/>
    </row>
    <row r="202" spans="2:19">
      <c r="G202" s="14"/>
      <c r="H202" s="65"/>
      <c r="I202" s="65"/>
      <c r="J202" s="61"/>
      <c r="M202" s="65"/>
      <c r="N202" s="61"/>
      <c r="Q202" s="14"/>
      <c r="R202" s="49"/>
    </row>
    <row r="203" spans="2:19" ht="15" thickBot="1">
      <c r="B203" s="3" t="s">
        <v>3</v>
      </c>
      <c r="F203" s="1"/>
      <c r="G203" s="13">
        <v>70839</v>
      </c>
      <c r="H203" s="56"/>
      <c r="I203" s="56"/>
      <c r="J203" s="64">
        <v>90270.76</v>
      </c>
      <c r="K203" s="313">
        <f t="shared" ref="K203:K215" si="18">J203*1.049</f>
        <v>94694.027239999981</v>
      </c>
      <c r="L203" s="3" t="s">
        <v>4</v>
      </c>
      <c r="M203" s="112">
        <v>95261</v>
      </c>
      <c r="N203" s="64">
        <v>118702.54</v>
      </c>
      <c r="O203" s="313">
        <f t="shared" ref="O203" si="19">N203*1.049</f>
        <v>124518.96445999999</v>
      </c>
      <c r="P203" s="1" t="s">
        <v>3</v>
      </c>
      <c r="Q203" s="13">
        <v>71018</v>
      </c>
      <c r="R203" s="72">
        <v>90478.93</v>
      </c>
      <c r="S203" s="313">
        <f t="shared" ref="S203:S215" si="20">R203*1.049</f>
        <v>94912.397569999986</v>
      </c>
    </row>
    <row r="204" spans="2:19">
      <c r="B204" s="4" t="s">
        <v>6</v>
      </c>
      <c r="G204" s="14"/>
      <c r="H204" s="65"/>
      <c r="I204" s="65"/>
      <c r="J204" s="61"/>
      <c r="L204" s="4" t="s">
        <v>7</v>
      </c>
      <c r="M204" s="65" t="s">
        <v>177</v>
      </c>
      <c r="N204" s="61"/>
      <c r="P204" t="s">
        <v>178</v>
      </c>
      <c r="Q204" s="15"/>
      <c r="R204" s="168"/>
    </row>
    <row r="205" spans="2:19" ht="15" thickBot="1">
      <c r="B205" s="3" t="s">
        <v>8</v>
      </c>
      <c r="G205" s="13">
        <v>70403</v>
      </c>
      <c r="H205" s="56"/>
      <c r="I205" s="56"/>
      <c r="J205" s="64">
        <v>92842.96</v>
      </c>
      <c r="K205" s="313">
        <f>J205*1.049+2640</f>
        <v>100032.26504</v>
      </c>
      <c r="L205" s="3" t="s">
        <v>960</v>
      </c>
      <c r="M205" s="65"/>
      <c r="N205" s="61"/>
      <c r="P205" s="1" t="s">
        <v>8</v>
      </c>
      <c r="Q205" s="13">
        <v>69345</v>
      </c>
      <c r="R205" s="72">
        <v>91630.17</v>
      </c>
      <c r="S205" s="313">
        <f t="shared" si="20"/>
        <v>96120.048329999991</v>
      </c>
    </row>
    <row r="206" spans="2:19">
      <c r="B206" s="4" t="s">
        <v>10</v>
      </c>
      <c r="G206" s="14"/>
      <c r="H206" s="65"/>
      <c r="I206" s="65"/>
      <c r="J206" s="61"/>
      <c r="L206" s="4"/>
      <c r="M206" s="65"/>
      <c r="N206" s="61"/>
      <c r="P206" t="s">
        <v>179</v>
      </c>
      <c r="Q206" s="15"/>
      <c r="R206" s="168"/>
    </row>
    <row r="207" spans="2:19" ht="15" thickBot="1">
      <c r="B207" s="3" t="s">
        <v>11</v>
      </c>
      <c r="G207" s="13">
        <v>74103</v>
      </c>
      <c r="H207" s="56"/>
      <c r="I207" s="56"/>
      <c r="J207" s="64">
        <v>94069.79</v>
      </c>
      <c r="K207" s="313">
        <f t="shared" si="18"/>
        <v>98679.209709999981</v>
      </c>
      <c r="L207" s="3" t="s">
        <v>12</v>
      </c>
      <c r="M207" s="112">
        <v>100373</v>
      </c>
      <c r="N207" s="64">
        <v>124656.8</v>
      </c>
      <c r="O207" s="313">
        <f t="shared" ref="O207" si="21">N207*1.049</f>
        <v>130764.98319999999</v>
      </c>
      <c r="P207" s="1" t="s">
        <v>11</v>
      </c>
      <c r="Q207" s="13">
        <v>73700</v>
      </c>
      <c r="R207" s="72">
        <v>93601.1</v>
      </c>
      <c r="S207" s="313">
        <f t="shared" si="20"/>
        <v>98187.553899999999</v>
      </c>
    </row>
    <row r="208" spans="2:19">
      <c r="B208" s="4" t="s">
        <v>7</v>
      </c>
      <c r="G208" s="14"/>
      <c r="H208" s="65"/>
      <c r="I208" s="65"/>
      <c r="J208" s="61"/>
      <c r="L208" s="4" t="s">
        <v>13</v>
      </c>
      <c r="M208" s="65" t="s">
        <v>177</v>
      </c>
      <c r="N208" s="61"/>
      <c r="P208" t="s">
        <v>180</v>
      </c>
      <c r="Q208" s="15"/>
      <c r="R208" s="168"/>
    </row>
    <row r="209" spans="1:20" ht="15" thickBot="1">
      <c r="B209" s="3" t="s">
        <v>14</v>
      </c>
      <c r="G209" s="13">
        <v>75491</v>
      </c>
      <c r="H209" s="56"/>
      <c r="I209" s="56"/>
      <c r="J209" s="64">
        <v>95710.03</v>
      </c>
      <c r="K209" s="313">
        <f t="shared" si="18"/>
        <v>100399.82147</v>
      </c>
      <c r="M209" s="65"/>
      <c r="N209" s="61"/>
      <c r="P209" s="1" t="s">
        <v>14</v>
      </c>
      <c r="Q209" s="13">
        <v>75088</v>
      </c>
      <c r="R209" s="72">
        <v>95241.34</v>
      </c>
      <c r="S209" s="313">
        <f t="shared" si="20"/>
        <v>99908.165659999984</v>
      </c>
    </row>
    <row r="210" spans="1:20">
      <c r="B210" s="4" t="s">
        <v>7</v>
      </c>
      <c r="G210" s="14"/>
      <c r="H210" s="65"/>
      <c r="I210" s="65"/>
      <c r="J210" s="61"/>
      <c r="M210" s="65"/>
      <c r="N210" s="61"/>
      <c r="P210" t="s">
        <v>180</v>
      </c>
      <c r="Q210" s="15"/>
      <c r="R210" s="168"/>
    </row>
    <row r="211" spans="1:20" ht="15" thickBot="1">
      <c r="B211" s="3" t="s">
        <v>15</v>
      </c>
      <c r="G211" s="13">
        <v>97041</v>
      </c>
      <c r="H211" s="56"/>
      <c r="I211" s="56"/>
      <c r="J211" s="64">
        <v>117434.47</v>
      </c>
      <c r="K211" s="313">
        <f t="shared" si="18"/>
        <v>123188.75902999999</v>
      </c>
      <c r="M211" s="65"/>
      <c r="N211" s="61"/>
      <c r="P211" s="1" t="s">
        <v>181</v>
      </c>
      <c r="Q211" s="13">
        <v>96638</v>
      </c>
      <c r="R211" s="72">
        <v>116979.65</v>
      </c>
      <c r="S211" s="313">
        <f t="shared" si="20"/>
        <v>122711.65284999998</v>
      </c>
    </row>
    <row r="212" spans="1:20">
      <c r="B212" s="4" t="s">
        <v>7</v>
      </c>
      <c r="G212" s="14"/>
      <c r="H212" s="65"/>
      <c r="I212" s="65"/>
      <c r="J212" s="61"/>
      <c r="M212" s="65"/>
      <c r="N212" s="61"/>
      <c r="P212" t="s">
        <v>180</v>
      </c>
      <c r="Q212" s="15"/>
      <c r="R212" s="168"/>
    </row>
    <row r="213" spans="1:20" ht="15" thickBot="1">
      <c r="B213" s="3" t="s">
        <v>16</v>
      </c>
      <c r="G213" s="13">
        <v>80603</v>
      </c>
      <c r="H213" s="56"/>
      <c r="I213" s="56"/>
      <c r="J213" s="64">
        <v>101664.29</v>
      </c>
      <c r="K213" s="313">
        <f t="shared" si="18"/>
        <v>106645.84020999998</v>
      </c>
      <c r="M213" s="65"/>
      <c r="N213" s="61"/>
      <c r="P213" s="1" t="s">
        <v>16</v>
      </c>
      <c r="Q213" s="13">
        <v>79537</v>
      </c>
      <c r="R213" s="72">
        <v>100424.53</v>
      </c>
      <c r="S213" s="313">
        <f t="shared" si="20"/>
        <v>105345.33197</v>
      </c>
    </row>
    <row r="214" spans="1:20">
      <c r="B214" s="4" t="s">
        <v>13</v>
      </c>
      <c r="G214" s="14"/>
      <c r="H214" s="65"/>
      <c r="I214" s="65"/>
      <c r="J214" s="61"/>
      <c r="M214" s="65"/>
      <c r="N214" s="61"/>
      <c r="P214" t="s">
        <v>182</v>
      </c>
      <c r="Q214" s="15"/>
      <c r="R214" s="168"/>
    </row>
    <row r="215" spans="1:20" ht="15" thickBot="1">
      <c r="B215" s="3" t="s">
        <v>17</v>
      </c>
      <c r="G215" s="13">
        <v>102153</v>
      </c>
      <c r="H215" s="56"/>
      <c r="I215" s="56"/>
      <c r="J215" s="64">
        <v>123212.88</v>
      </c>
      <c r="K215" s="313">
        <f t="shared" si="18"/>
        <v>129250.31112</v>
      </c>
      <c r="M215" s="65"/>
      <c r="N215" s="61"/>
      <c r="P215" s="1" t="s">
        <v>183</v>
      </c>
      <c r="Q215" s="13">
        <v>101087</v>
      </c>
      <c r="R215" s="72">
        <v>122009.79</v>
      </c>
      <c r="S215" s="313">
        <f t="shared" si="20"/>
        <v>127988.26970999998</v>
      </c>
    </row>
    <row r="216" spans="1:20">
      <c r="B216" s="4" t="s">
        <v>13</v>
      </c>
      <c r="G216" s="14"/>
      <c r="H216" s="65"/>
      <c r="I216" s="65"/>
      <c r="J216" s="61"/>
      <c r="M216" s="65"/>
      <c r="N216" s="61"/>
      <c r="P216" t="s">
        <v>182</v>
      </c>
      <c r="Q216" s="15"/>
      <c r="R216" s="168"/>
    </row>
    <row r="217" spans="1:20">
      <c r="B217" s="4"/>
      <c r="G217" s="14"/>
      <c r="H217" s="65"/>
      <c r="I217" s="65"/>
      <c r="J217" s="61"/>
      <c r="M217" s="65"/>
      <c r="N217" s="61"/>
      <c r="Q217" s="14"/>
      <c r="R217" s="168"/>
    </row>
    <row r="218" spans="1:20">
      <c r="B218" s="3" t="s">
        <v>22</v>
      </c>
      <c r="G218" s="14"/>
      <c r="H218" s="65"/>
      <c r="I218" s="65"/>
      <c r="J218" s="61"/>
      <c r="M218" s="65"/>
      <c r="N218" s="61"/>
      <c r="Q218" s="14"/>
      <c r="R218" s="168"/>
    </row>
    <row r="219" spans="1:20" ht="15" thickBot="1">
      <c r="A219">
        <v>1</v>
      </c>
      <c r="B219" s="4" t="s">
        <v>23</v>
      </c>
      <c r="G219" s="13">
        <v>909</v>
      </c>
      <c r="H219" s="64">
        <f t="shared" ref="H219:H230" si="22">SUM(G219*1.2837)</f>
        <v>1166.8833</v>
      </c>
      <c r="I219" s="313">
        <f t="shared" ref="I219:I281" si="23">H219*1.049</f>
        <v>1224.0605816999998</v>
      </c>
      <c r="K219">
        <f>(A281+1)</f>
        <v>64</v>
      </c>
      <c r="L219" s="4" t="s">
        <v>24</v>
      </c>
      <c r="M219" s="112">
        <v>7282</v>
      </c>
      <c r="N219" s="64">
        <f>SUM(M219*1.2837)</f>
        <v>9347.9034000000011</v>
      </c>
      <c r="O219" s="313">
        <f t="shared" ref="O219:O282" si="24">N219*1.049</f>
        <v>9805.9506665999997</v>
      </c>
      <c r="P219">
        <v>138</v>
      </c>
      <c r="Q219" t="s">
        <v>25</v>
      </c>
      <c r="R219" s="13">
        <v>4604</v>
      </c>
      <c r="S219" s="72">
        <f t="shared" ref="S219:S238" si="25">SUM(R219*1.2837)</f>
        <v>5910.1548000000003</v>
      </c>
      <c r="T219" s="313">
        <f t="shared" ref="T219:T238" si="26">S219*1.049</f>
        <v>6199.7523851999995</v>
      </c>
    </row>
    <row r="220" spans="1:20" ht="15" thickBot="1">
      <c r="A220">
        <f>A219+1</f>
        <v>2</v>
      </c>
      <c r="B220" s="4" t="s">
        <v>26</v>
      </c>
      <c r="G220" s="13">
        <v>789</v>
      </c>
      <c r="H220" s="64">
        <f t="shared" si="22"/>
        <v>1012.8393000000001</v>
      </c>
      <c r="I220" s="313">
        <f t="shared" si="23"/>
        <v>1062.4684257000001</v>
      </c>
      <c r="K220">
        <f t="shared" ref="K220:K283" si="27">(K219+1)</f>
        <v>65</v>
      </c>
      <c r="L220" t="s">
        <v>27</v>
      </c>
      <c r="M220" s="112">
        <v>4166</v>
      </c>
      <c r="N220" s="64">
        <f t="shared" ref="N220:N283" si="28">SUM(M220*1.2837)</f>
        <v>5347.8942000000006</v>
      </c>
      <c r="O220" s="313">
        <f t="shared" si="24"/>
        <v>5609.9410158000001</v>
      </c>
      <c r="P220">
        <v>139</v>
      </c>
      <c r="Q220" t="s">
        <v>28</v>
      </c>
      <c r="R220" s="13">
        <v>5697</v>
      </c>
      <c r="S220" s="72">
        <f t="shared" si="25"/>
        <v>7313.2389000000003</v>
      </c>
      <c r="T220" s="313">
        <f t="shared" si="26"/>
        <v>7671.5876060999999</v>
      </c>
    </row>
    <row r="221" spans="1:20" ht="15" thickBot="1">
      <c r="A221">
        <f t="shared" ref="A221:A281" si="29">A220+1</f>
        <v>3</v>
      </c>
      <c r="B221" s="4" t="s">
        <v>29</v>
      </c>
      <c r="G221" s="13">
        <v>592</v>
      </c>
      <c r="H221" s="64">
        <f t="shared" si="22"/>
        <v>759.95040000000006</v>
      </c>
      <c r="I221" s="313">
        <f t="shared" si="23"/>
        <v>797.18796959999997</v>
      </c>
      <c r="K221">
        <f t="shared" si="27"/>
        <v>66</v>
      </c>
      <c r="L221" s="4" t="s">
        <v>30</v>
      </c>
      <c r="M221" s="112">
        <v>962</v>
      </c>
      <c r="N221" s="64">
        <f t="shared" si="28"/>
        <v>1234.9194</v>
      </c>
      <c r="O221" s="313">
        <f t="shared" si="24"/>
        <v>1295.4304505999999</v>
      </c>
      <c r="P221">
        <v>140</v>
      </c>
      <c r="Q221" s="4" t="s">
        <v>31</v>
      </c>
      <c r="R221" s="13">
        <v>936</v>
      </c>
      <c r="S221" s="72">
        <f t="shared" si="25"/>
        <v>1201.5432000000001</v>
      </c>
      <c r="T221" s="313">
        <f t="shared" si="26"/>
        <v>1260.4188168000001</v>
      </c>
    </row>
    <row r="222" spans="1:20" ht="15" thickBot="1">
      <c r="A222">
        <f t="shared" si="29"/>
        <v>4</v>
      </c>
      <c r="B222" s="4" t="s">
        <v>34</v>
      </c>
      <c r="G222" s="13">
        <v>522</v>
      </c>
      <c r="H222" s="64">
        <f t="shared" si="22"/>
        <v>670.09140000000002</v>
      </c>
      <c r="I222" s="313">
        <f t="shared" si="23"/>
        <v>702.92587860000003</v>
      </c>
      <c r="K222">
        <f t="shared" si="27"/>
        <v>67</v>
      </c>
      <c r="L222" s="4" t="s">
        <v>35</v>
      </c>
      <c r="M222" s="112">
        <v>2567</v>
      </c>
      <c r="N222" s="64">
        <f t="shared" si="28"/>
        <v>3295.2579000000001</v>
      </c>
      <c r="O222" s="313">
        <f t="shared" si="24"/>
        <v>3456.7255370999997</v>
      </c>
      <c r="P222">
        <v>141</v>
      </c>
      <c r="Q222" s="8" t="s">
        <v>36</v>
      </c>
      <c r="R222" s="13">
        <v>311</v>
      </c>
      <c r="S222" s="72">
        <f t="shared" si="25"/>
        <v>399.23070000000001</v>
      </c>
      <c r="T222" s="313">
        <f t="shared" si="26"/>
        <v>418.79300430000001</v>
      </c>
    </row>
    <row r="223" spans="1:20" ht="15" thickBot="1">
      <c r="A223">
        <f t="shared" si="29"/>
        <v>5</v>
      </c>
      <c r="B223" s="4" t="s">
        <v>37</v>
      </c>
      <c r="G223" s="13">
        <v>751</v>
      </c>
      <c r="H223" s="64">
        <f t="shared" si="22"/>
        <v>964.05870000000004</v>
      </c>
      <c r="I223" s="313">
        <f t="shared" si="23"/>
        <v>1011.2975762999999</v>
      </c>
      <c r="K223">
        <f t="shared" si="27"/>
        <v>68</v>
      </c>
      <c r="L223" t="s">
        <v>38</v>
      </c>
      <c r="M223" s="112">
        <v>9349</v>
      </c>
      <c r="N223" s="64">
        <f t="shared" si="28"/>
        <v>12001.311300000001</v>
      </c>
      <c r="O223" s="313">
        <f t="shared" si="24"/>
        <v>12589.3755537</v>
      </c>
      <c r="P223">
        <v>142</v>
      </c>
      <c r="Q223" s="4" t="s">
        <v>184</v>
      </c>
      <c r="R223" s="13">
        <v>5096</v>
      </c>
      <c r="S223" s="72">
        <f t="shared" si="25"/>
        <v>6541.7352000000001</v>
      </c>
      <c r="T223" s="313">
        <f t="shared" si="26"/>
        <v>6862.2802247999998</v>
      </c>
    </row>
    <row r="224" spans="1:20" ht="15" thickBot="1">
      <c r="A224">
        <f t="shared" si="29"/>
        <v>6</v>
      </c>
      <c r="B224" s="4" t="s">
        <v>39</v>
      </c>
      <c r="G224" s="13">
        <v>1205</v>
      </c>
      <c r="H224" s="64">
        <f t="shared" si="22"/>
        <v>1546.8585</v>
      </c>
      <c r="I224" s="313">
        <f t="shared" si="23"/>
        <v>1622.6545664999999</v>
      </c>
      <c r="K224">
        <f t="shared" si="27"/>
        <v>69</v>
      </c>
      <c r="L224" s="4" t="s">
        <v>40</v>
      </c>
      <c r="M224" s="112">
        <v>8238</v>
      </c>
      <c r="N224" s="64">
        <f t="shared" si="28"/>
        <v>10575.1206</v>
      </c>
      <c r="O224" s="313">
        <f t="shared" si="24"/>
        <v>11093.3015094</v>
      </c>
      <c r="P224">
        <v>143</v>
      </c>
      <c r="Q224" t="s">
        <v>185</v>
      </c>
      <c r="R224" s="13">
        <v>215</v>
      </c>
      <c r="S224" s="72">
        <f t="shared" si="25"/>
        <v>275.99549999999999</v>
      </c>
      <c r="T224" s="313">
        <f t="shared" si="26"/>
        <v>289.51927949999998</v>
      </c>
    </row>
    <row r="225" spans="1:20" ht="15" thickBot="1">
      <c r="A225">
        <f t="shared" si="29"/>
        <v>7</v>
      </c>
      <c r="B225" s="4" t="s">
        <v>41</v>
      </c>
      <c r="G225" s="13">
        <v>977</v>
      </c>
      <c r="H225" s="64">
        <f t="shared" si="22"/>
        <v>1254.1749</v>
      </c>
      <c r="I225" s="313">
        <f t="shared" si="23"/>
        <v>1315.6294700999999</v>
      </c>
      <c r="K225">
        <f t="shared" si="27"/>
        <v>70</v>
      </c>
      <c r="L225" s="4" t="s">
        <v>42</v>
      </c>
      <c r="M225" s="112">
        <v>1169</v>
      </c>
      <c r="N225" s="64">
        <f t="shared" si="28"/>
        <v>1500.6453000000001</v>
      </c>
      <c r="O225" s="313">
        <f t="shared" si="24"/>
        <v>1574.1769197000001</v>
      </c>
      <c r="P225">
        <v>144</v>
      </c>
      <c r="Q225" t="s">
        <v>186</v>
      </c>
      <c r="R225" s="16">
        <v>2467</v>
      </c>
      <c r="S225" s="72">
        <f t="shared" si="25"/>
        <v>3166.8879000000002</v>
      </c>
      <c r="T225" s="313">
        <f t="shared" si="26"/>
        <v>3322.0654070999999</v>
      </c>
    </row>
    <row r="226" spans="1:20" ht="15" thickBot="1">
      <c r="A226">
        <f t="shared" si="29"/>
        <v>8</v>
      </c>
      <c r="B226" s="4" t="s">
        <v>43</v>
      </c>
      <c r="G226" s="13">
        <v>888</v>
      </c>
      <c r="H226" s="64">
        <f t="shared" si="22"/>
        <v>1139.9256</v>
      </c>
      <c r="I226" s="313">
        <f t="shared" si="23"/>
        <v>1195.7819543999999</v>
      </c>
      <c r="K226">
        <f t="shared" si="27"/>
        <v>71</v>
      </c>
      <c r="L226" s="4" t="s">
        <v>44</v>
      </c>
      <c r="M226" s="119">
        <v>1086</v>
      </c>
      <c r="N226" s="64">
        <f t="shared" si="28"/>
        <v>1394.0982000000001</v>
      </c>
      <c r="O226" s="313">
        <f t="shared" si="24"/>
        <v>1462.4090118000001</v>
      </c>
      <c r="P226">
        <v>145</v>
      </c>
      <c r="Q226" t="s">
        <v>187</v>
      </c>
      <c r="R226" s="16">
        <v>4767</v>
      </c>
      <c r="S226" s="72">
        <f t="shared" si="25"/>
        <v>6119.3978999999999</v>
      </c>
      <c r="T226" s="313">
        <f t="shared" si="26"/>
        <v>6419.2483970999992</v>
      </c>
    </row>
    <row r="227" spans="1:20" ht="15" thickBot="1">
      <c r="A227">
        <f t="shared" si="29"/>
        <v>9</v>
      </c>
      <c r="B227" s="4" t="s">
        <v>45</v>
      </c>
      <c r="G227" s="13">
        <v>-251</v>
      </c>
      <c r="H227" s="64">
        <f t="shared" si="22"/>
        <v>-322.20870000000002</v>
      </c>
      <c r="I227" s="313">
        <f t="shared" si="23"/>
        <v>-337.99692629999998</v>
      </c>
      <c r="K227">
        <f t="shared" si="27"/>
        <v>72</v>
      </c>
      <c r="L227" s="4" t="s">
        <v>46</v>
      </c>
      <c r="M227" s="119">
        <v>284</v>
      </c>
      <c r="N227" s="64">
        <f t="shared" si="28"/>
        <v>364.57080000000002</v>
      </c>
      <c r="O227" s="313">
        <f t="shared" si="24"/>
        <v>382.43476920000001</v>
      </c>
      <c r="P227">
        <v>146</v>
      </c>
      <c r="Q227" t="s">
        <v>188</v>
      </c>
      <c r="R227" s="16">
        <v>194</v>
      </c>
      <c r="S227" s="72">
        <f t="shared" si="25"/>
        <v>249.0378</v>
      </c>
      <c r="T227" s="313">
        <f t="shared" si="26"/>
        <v>261.2406522</v>
      </c>
    </row>
    <row r="228" spans="1:20" ht="15" thickBot="1">
      <c r="A228">
        <f t="shared" si="29"/>
        <v>10</v>
      </c>
      <c r="B228" s="4" t="s">
        <v>47</v>
      </c>
      <c r="G228" s="13">
        <v>1253</v>
      </c>
      <c r="H228" s="64">
        <f t="shared" si="22"/>
        <v>1608.4761000000001</v>
      </c>
      <c r="I228" s="313">
        <f t="shared" si="23"/>
        <v>1687.2914289</v>
      </c>
      <c r="K228">
        <f t="shared" si="27"/>
        <v>73</v>
      </c>
      <c r="L228" s="4" t="s">
        <v>48</v>
      </c>
      <c r="M228" s="119">
        <v>874</v>
      </c>
      <c r="N228" s="64">
        <f t="shared" si="28"/>
        <v>1121.9538</v>
      </c>
      <c r="O228" s="313">
        <f t="shared" si="24"/>
        <v>1176.9295362</v>
      </c>
      <c r="P228">
        <v>147</v>
      </c>
      <c r="Q228" t="s">
        <v>189</v>
      </c>
      <c r="R228" s="16">
        <v>860</v>
      </c>
      <c r="S228" s="72">
        <f t="shared" si="25"/>
        <v>1103.982</v>
      </c>
      <c r="T228" s="313">
        <f t="shared" si="26"/>
        <v>1158.0771179999999</v>
      </c>
    </row>
    <row r="229" spans="1:20" ht="15" thickBot="1">
      <c r="A229">
        <f t="shared" si="29"/>
        <v>11</v>
      </c>
      <c r="B229" t="s">
        <v>49</v>
      </c>
      <c r="G229" s="13">
        <v>1253</v>
      </c>
      <c r="H229" s="64">
        <f t="shared" si="22"/>
        <v>1608.4761000000001</v>
      </c>
      <c r="I229" s="313">
        <f t="shared" si="23"/>
        <v>1687.2914289</v>
      </c>
      <c r="K229">
        <f t="shared" si="27"/>
        <v>74</v>
      </c>
      <c r="L229" s="4" t="s">
        <v>50</v>
      </c>
      <c r="M229" s="119">
        <v>788</v>
      </c>
      <c r="N229" s="64">
        <f t="shared" si="28"/>
        <v>1011.5556</v>
      </c>
      <c r="O229" s="313">
        <f t="shared" si="24"/>
        <v>1061.1218243999999</v>
      </c>
      <c r="P229">
        <v>148</v>
      </c>
      <c r="Q229" t="s">
        <v>190</v>
      </c>
      <c r="R229" s="16">
        <v>1085</v>
      </c>
      <c r="S229" s="72">
        <f t="shared" si="25"/>
        <v>1392.8145000000002</v>
      </c>
      <c r="T229" s="313">
        <f t="shared" si="26"/>
        <v>1461.0624105000002</v>
      </c>
    </row>
    <row r="230" spans="1:20" ht="15" thickBot="1">
      <c r="A230">
        <f t="shared" si="29"/>
        <v>12</v>
      </c>
      <c r="B230" s="4" t="s">
        <v>51</v>
      </c>
      <c r="E230" s="1"/>
      <c r="G230" s="13">
        <v>1304</v>
      </c>
      <c r="H230" s="64">
        <f t="shared" si="22"/>
        <v>1673.9448</v>
      </c>
      <c r="I230" s="313">
        <f t="shared" si="23"/>
        <v>1755.9680951999999</v>
      </c>
      <c r="K230">
        <f t="shared" si="27"/>
        <v>75</v>
      </c>
      <c r="L230" s="4" t="s">
        <v>52</v>
      </c>
      <c r="M230" s="112">
        <v>1247</v>
      </c>
      <c r="N230" s="64">
        <f t="shared" si="28"/>
        <v>1600.7739000000001</v>
      </c>
      <c r="O230" s="313">
        <f t="shared" si="24"/>
        <v>1679.2118211</v>
      </c>
      <c r="P230">
        <v>149</v>
      </c>
      <c r="Q230" t="s">
        <v>191</v>
      </c>
      <c r="R230" s="16">
        <v>1365</v>
      </c>
      <c r="S230" s="72">
        <f t="shared" si="25"/>
        <v>1752.2505000000001</v>
      </c>
      <c r="T230" s="313">
        <f t="shared" si="26"/>
        <v>1838.1107744999999</v>
      </c>
    </row>
    <row r="231" spans="1:20" ht="15" thickBot="1">
      <c r="A231">
        <f t="shared" si="29"/>
        <v>13</v>
      </c>
      <c r="B231" s="4" t="s">
        <v>53</v>
      </c>
      <c r="E231" s="1"/>
      <c r="G231" s="13" t="s">
        <v>192</v>
      </c>
      <c r="H231" s="64" t="s">
        <v>57</v>
      </c>
      <c r="I231" s="313"/>
      <c r="K231">
        <f t="shared" si="27"/>
        <v>76</v>
      </c>
      <c r="L231" s="4" t="s">
        <v>54</v>
      </c>
      <c r="M231" s="112" t="s">
        <v>192</v>
      </c>
      <c r="N231" s="64" t="s">
        <v>57</v>
      </c>
      <c r="O231" s="313"/>
      <c r="P231">
        <v>150</v>
      </c>
      <c r="Q231" t="s">
        <v>193</v>
      </c>
      <c r="R231" s="16">
        <v>1620</v>
      </c>
      <c r="S231" s="72">
        <f t="shared" si="25"/>
        <v>2079.5940000000001</v>
      </c>
      <c r="T231" s="313">
        <f t="shared" si="26"/>
        <v>2181.4941060000001</v>
      </c>
    </row>
    <row r="232" spans="1:20" ht="15" thickBot="1">
      <c r="A232">
        <f t="shared" si="29"/>
        <v>14</v>
      </c>
      <c r="B232" s="4" t="s">
        <v>55</v>
      </c>
      <c r="E232" s="1"/>
      <c r="G232" s="13">
        <v>425</v>
      </c>
      <c r="H232" s="64">
        <f t="shared" ref="H232:H243" si="30">SUM(G232*1.2837)</f>
        <v>545.57249999999999</v>
      </c>
      <c r="I232" s="313">
        <f t="shared" si="23"/>
        <v>572.30555249999998</v>
      </c>
      <c r="K232">
        <f t="shared" si="27"/>
        <v>77</v>
      </c>
      <c r="L232" s="4" t="s">
        <v>56</v>
      </c>
      <c r="M232" s="119" t="s">
        <v>192</v>
      </c>
      <c r="N232" s="64" t="s">
        <v>57</v>
      </c>
      <c r="O232" s="313"/>
      <c r="P232">
        <v>151</v>
      </c>
      <c r="Q232" t="s">
        <v>194</v>
      </c>
      <c r="R232" s="16">
        <v>29</v>
      </c>
      <c r="S232" s="72">
        <f t="shared" si="25"/>
        <v>37.2273</v>
      </c>
      <c r="T232" s="313">
        <f t="shared" si="26"/>
        <v>39.051437699999994</v>
      </c>
    </row>
    <row r="233" spans="1:20" ht="15" thickBot="1">
      <c r="A233">
        <f t="shared" si="29"/>
        <v>15</v>
      </c>
      <c r="B233" s="4" t="s">
        <v>58</v>
      </c>
      <c r="G233" s="13">
        <v>-887</v>
      </c>
      <c r="H233" s="64">
        <f t="shared" si="30"/>
        <v>-1138.6419000000001</v>
      </c>
      <c r="I233" s="313">
        <f t="shared" si="23"/>
        <v>-1194.4353530999999</v>
      </c>
      <c r="K233">
        <f t="shared" si="27"/>
        <v>78</v>
      </c>
      <c r="L233" s="4" t="s">
        <v>59</v>
      </c>
      <c r="M233" s="119">
        <v>491</v>
      </c>
      <c r="N233" s="64">
        <f t="shared" si="28"/>
        <v>630.29669999999999</v>
      </c>
      <c r="O233" s="313">
        <f t="shared" si="24"/>
        <v>661.1812382999999</v>
      </c>
      <c r="P233">
        <v>152</v>
      </c>
      <c r="Q233" t="s">
        <v>195</v>
      </c>
      <c r="R233" s="16">
        <v>35</v>
      </c>
      <c r="S233" s="72">
        <f t="shared" si="25"/>
        <v>44.929500000000004</v>
      </c>
      <c r="T233" s="313">
        <f t="shared" si="26"/>
        <v>47.131045499999999</v>
      </c>
    </row>
    <row r="234" spans="1:20" ht="15" thickBot="1">
      <c r="A234">
        <f t="shared" si="29"/>
        <v>16</v>
      </c>
      <c r="B234" s="4" t="s">
        <v>60</v>
      </c>
      <c r="G234" s="13">
        <v>0</v>
      </c>
      <c r="H234" s="64">
        <f t="shared" si="30"/>
        <v>0</v>
      </c>
      <c r="I234" s="313">
        <f t="shared" si="23"/>
        <v>0</v>
      </c>
      <c r="K234">
        <f t="shared" si="27"/>
        <v>79</v>
      </c>
      <c r="L234" s="4" t="s">
        <v>61</v>
      </c>
      <c r="M234" s="119">
        <v>1881</v>
      </c>
      <c r="N234" s="64">
        <f t="shared" si="28"/>
        <v>2414.6397000000002</v>
      </c>
      <c r="O234" s="313">
        <f t="shared" si="24"/>
        <v>2532.9570453000001</v>
      </c>
      <c r="P234">
        <v>153</v>
      </c>
      <c r="Q234" t="s">
        <v>196</v>
      </c>
      <c r="R234" s="16">
        <v>1262</v>
      </c>
      <c r="S234" s="72">
        <f t="shared" si="25"/>
        <v>1620.0294000000001</v>
      </c>
      <c r="T234" s="313">
        <f t="shared" si="26"/>
        <v>1699.4108406</v>
      </c>
    </row>
    <row r="235" spans="1:20" ht="15" thickBot="1">
      <c r="A235">
        <f t="shared" si="29"/>
        <v>17</v>
      </c>
      <c r="B235" t="s">
        <v>62</v>
      </c>
      <c r="E235" s="1"/>
      <c r="G235" s="13">
        <v>0</v>
      </c>
      <c r="H235" s="64">
        <f t="shared" si="30"/>
        <v>0</v>
      </c>
      <c r="I235" s="313">
        <f t="shared" si="23"/>
        <v>0</v>
      </c>
      <c r="K235">
        <f t="shared" si="27"/>
        <v>80</v>
      </c>
      <c r="L235" s="4" t="s">
        <v>63</v>
      </c>
      <c r="M235" s="119">
        <v>2165</v>
      </c>
      <c r="N235" s="64">
        <f t="shared" si="28"/>
        <v>2779.2105000000001</v>
      </c>
      <c r="O235" s="313">
        <f t="shared" si="24"/>
        <v>2915.3918144999998</v>
      </c>
      <c r="P235">
        <v>154</v>
      </c>
      <c r="Q235" t="s">
        <v>197</v>
      </c>
      <c r="R235" s="16">
        <v>2845</v>
      </c>
      <c r="S235" s="72">
        <f t="shared" si="25"/>
        <v>3652.1265000000003</v>
      </c>
      <c r="T235" s="313">
        <f t="shared" si="26"/>
        <v>3831.0806984999999</v>
      </c>
    </row>
    <row r="236" spans="1:20" ht="15" thickBot="1">
      <c r="A236">
        <f t="shared" si="29"/>
        <v>18</v>
      </c>
      <c r="B236" t="s">
        <v>64</v>
      </c>
      <c r="E236" s="1"/>
      <c r="G236" s="13">
        <v>85</v>
      </c>
      <c r="H236" s="64">
        <f t="shared" si="30"/>
        <v>109.11450000000001</v>
      </c>
      <c r="I236" s="313">
        <f t="shared" si="23"/>
        <v>114.4611105</v>
      </c>
      <c r="K236">
        <f t="shared" si="27"/>
        <v>81</v>
      </c>
      <c r="L236" s="4" t="s">
        <v>65</v>
      </c>
      <c r="M236" s="119">
        <v>399</v>
      </c>
      <c r="N236" s="64">
        <f t="shared" si="28"/>
        <v>512.19630000000006</v>
      </c>
      <c r="O236" s="313">
        <f t="shared" si="24"/>
        <v>537.29391870000006</v>
      </c>
      <c r="P236">
        <v>155</v>
      </c>
      <c r="Q236" t="s">
        <v>198</v>
      </c>
      <c r="R236" s="16">
        <v>1990</v>
      </c>
      <c r="S236" s="72">
        <f t="shared" si="25"/>
        <v>2554.5630000000001</v>
      </c>
      <c r="T236" s="313">
        <f t="shared" si="26"/>
        <v>2679.7365869999999</v>
      </c>
    </row>
    <row r="237" spans="1:20" ht="15" thickBot="1">
      <c r="A237">
        <f t="shared" si="29"/>
        <v>19</v>
      </c>
      <c r="B237" t="s">
        <v>66</v>
      </c>
      <c r="E237" s="1"/>
      <c r="G237" s="13">
        <v>72</v>
      </c>
      <c r="H237" s="64">
        <f t="shared" si="30"/>
        <v>92.426400000000001</v>
      </c>
      <c r="I237" s="313">
        <f t="shared" si="23"/>
        <v>96.95529359999999</v>
      </c>
      <c r="K237">
        <f t="shared" si="27"/>
        <v>82</v>
      </c>
      <c r="L237" s="4" t="s">
        <v>67</v>
      </c>
      <c r="M237" s="112">
        <v>795</v>
      </c>
      <c r="N237" s="64">
        <f t="shared" si="28"/>
        <v>1020.5415</v>
      </c>
      <c r="O237" s="313">
        <f t="shared" si="24"/>
        <v>1070.5480335</v>
      </c>
      <c r="P237">
        <v>156</v>
      </c>
      <c r="Q237" t="s">
        <v>199</v>
      </c>
      <c r="R237" s="16">
        <v>4863</v>
      </c>
      <c r="S237" s="72">
        <f t="shared" si="25"/>
        <v>6242.6331</v>
      </c>
      <c r="T237" s="313">
        <f t="shared" si="26"/>
        <v>6548.5221218999995</v>
      </c>
    </row>
    <row r="238" spans="1:20" ht="15" thickBot="1">
      <c r="A238">
        <f t="shared" si="29"/>
        <v>20</v>
      </c>
      <c r="B238" t="s">
        <v>68</v>
      </c>
      <c r="E238" s="1"/>
      <c r="G238" s="13">
        <v>136</v>
      </c>
      <c r="H238" s="64">
        <f t="shared" si="30"/>
        <v>174.58320000000001</v>
      </c>
      <c r="I238" s="313">
        <f t="shared" si="23"/>
        <v>183.13777679999998</v>
      </c>
      <c r="K238">
        <f t="shared" si="27"/>
        <v>83</v>
      </c>
      <c r="L238" s="4" t="s">
        <v>69</v>
      </c>
      <c r="M238" s="112">
        <v>-294</v>
      </c>
      <c r="N238" s="64">
        <f t="shared" si="28"/>
        <v>-377.40780000000001</v>
      </c>
      <c r="O238" s="313">
        <f t="shared" si="24"/>
        <v>-395.90078219999998</v>
      </c>
      <c r="P238">
        <v>147</v>
      </c>
      <c r="Q238" t="s">
        <v>200</v>
      </c>
      <c r="R238" s="16">
        <v>9770</v>
      </c>
      <c r="S238" s="72">
        <f t="shared" si="25"/>
        <v>12541.749</v>
      </c>
      <c r="T238" s="313">
        <f t="shared" si="26"/>
        <v>13156.294700999999</v>
      </c>
    </row>
    <row r="239" spans="1:20" ht="15" thickBot="1">
      <c r="A239">
        <f t="shared" si="29"/>
        <v>21</v>
      </c>
      <c r="B239" t="s">
        <v>70</v>
      </c>
      <c r="E239" s="1"/>
      <c r="G239" s="13">
        <v>76</v>
      </c>
      <c r="H239" s="64">
        <f t="shared" si="30"/>
        <v>97.561199999999999</v>
      </c>
      <c r="I239" s="313">
        <f t="shared" si="23"/>
        <v>102.34169879999999</v>
      </c>
      <c r="K239">
        <f t="shared" si="27"/>
        <v>84</v>
      </c>
      <c r="L239" s="4" t="s">
        <v>71</v>
      </c>
      <c r="M239" s="112">
        <v>274</v>
      </c>
      <c r="N239" s="64">
        <f t="shared" si="28"/>
        <v>351.73380000000003</v>
      </c>
      <c r="O239" s="313">
        <f t="shared" si="24"/>
        <v>368.96875620000003</v>
      </c>
      <c r="Q239" s="14"/>
    </row>
    <row r="240" spans="1:20" ht="15" thickBot="1">
      <c r="A240">
        <f t="shared" si="29"/>
        <v>22</v>
      </c>
      <c r="B240" t="s">
        <v>72</v>
      </c>
      <c r="E240" s="1"/>
      <c r="G240" s="13">
        <v>21</v>
      </c>
      <c r="H240" s="64">
        <f t="shared" si="30"/>
        <v>26.957700000000003</v>
      </c>
      <c r="I240" s="313">
        <f t="shared" si="23"/>
        <v>28.2786273</v>
      </c>
      <c r="K240">
        <f t="shared" si="27"/>
        <v>85</v>
      </c>
      <c r="L240" s="4" t="s">
        <v>73</v>
      </c>
      <c r="M240" s="112">
        <v>1221</v>
      </c>
      <c r="N240" s="64">
        <f t="shared" si="28"/>
        <v>1567.3977</v>
      </c>
      <c r="O240" s="313">
        <f t="shared" si="24"/>
        <v>1644.2001872999999</v>
      </c>
      <c r="Q240" s="14"/>
    </row>
    <row r="241" spans="1:17" ht="15" thickBot="1">
      <c r="A241">
        <f t="shared" si="29"/>
        <v>23</v>
      </c>
      <c r="B241" t="s">
        <v>74</v>
      </c>
      <c r="E241" s="1"/>
      <c r="G241" s="13">
        <v>72</v>
      </c>
      <c r="H241" s="64">
        <f t="shared" si="30"/>
        <v>92.426400000000001</v>
      </c>
      <c r="I241" s="313">
        <f t="shared" si="23"/>
        <v>96.95529359999999</v>
      </c>
      <c r="K241">
        <f t="shared" si="27"/>
        <v>86</v>
      </c>
      <c r="L241" s="4" t="s">
        <v>75</v>
      </c>
      <c r="M241" s="112">
        <v>179</v>
      </c>
      <c r="N241" s="64">
        <f t="shared" si="28"/>
        <v>229.78230000000002</v>
      </c>
      <c r="O241" s="313">
        <f t="shared" si="24"/>
        <v>241.04163270000001</v>
      </c>
      <c r="Q241" s="14"/>
    </row>
    <row r="242" spans="1:17" ht="15" thickBot="1">
      <c r="A242">
        <f t="shared" si="29"/>
        <v>24</v>
      </c>
      <c r="B242" t="s">
        <v>76</v>
      </c>
      <c r="E242" s="1"/>
      <c r="G242" s="13">
        <v>1285</v>
      </c>
      <c r="H242" s="64">
        <f t="shared" si="30"/>
        <v>1649.5545000000002</v>
      </c>
      <c r="I242" s="313">
        <f t="shared" si="23"/>
        <v>1730.3826705000001</v>
      </c>
      <c r="K242">
        <f t="shared" si="27"/>
        <v>87</v>
      </c>
      <c r="L242" s="4" t="s">
        <v>78</v>
      </c>
      <c r="M242" s="112">
        <v>825</v>
      </c>
      <c r="N242" s="64">
        <f t="shared" si="28"/>
        <v>1059.0525</v>
      </c>
      <c r="O242" s="313">
        <f t="shared" si="24"/>
        <v>1110.9460724999999</v>
      </c>
      <c r="Q242" s="14"/>
    </row>
    <row r="243" spans="1:17" ht="15" thickBot="1">
      <c r="A243">
        <f t="shared" si="29"/>
        <v>25</v>
      </c>
      <c r="B243" s="4" t="s">
        <v>79</v>
      </c>
      <c r="E243" s="1"/>
      <c r="G243" s="13">
        <v>491</v>
      </c>
      <c r="H243" s="64">
        <f t="shared" si="30"/>
        <v>630.29669999999999</v>
      </c>
      <c r="I243" s="313">
        <f t="shared" si="23"/>
        <v>661.1812382999999</v>
      </c>
      <c r="K243">
        <f t="shared" si="27"/>
        <v>88</v>
      </c>
      <c r="L243" s="4" t="s">
        <v>80</v>
      </c>
      <c r="M243" s="112">
        <v>115</v>
      </c>
      <c r="N243" s="64">
        <f t="shared" si="28"/>
        <v>147.62550000000002</v>
      </c>
      <c r="O243" s="313">
        <f t="shared" si="24"/>
        <v>154.8591495</v>
      </c>
      <c r="Q243" s="14"/>
    </row>
    <row r="244" spans="1:17" ht="15" thickBot="1">
      <c r="A244">
        <f t="shared" si="29"/>
        <v>26</v>
      </c>
      <c r="B244" s="4" t="s">
        <v>81</v>
      </c>
      <c r="G244" s="13" t="s">
        <v>32</v>
      </c>
      <c r="H244" s="64" t="s">
        <v>9</v>
      </c>
      <c r="I244" s="313"/>
      <c r="K244">
        <f t="shared" si="27"/>
        <v>89</v>
      </c>
      <c r="L244" s="4" t="s">
        <v>82</v>
      </c>
      <c r="M244" s="112">
        <v>167</v>
      </c>
      <c r="N244" s="64">
        <f t="shared" si="28"/>
        <v>214.37790000000001</v>
      </c>
      <c r="O244" s="313">
        <f t="shared" si="24"/>
        <v>224.8824171</v>
      </c>
      <c r="Q244" s="14"/>
    </row>
    <row r="245" spans="1:17" ht="15" thickBot="1">
      <c r="A245">
        <f t="shared" si="29"/>
        <v>27</v>
      </c>
      <c r="B245" s="4" t="s">
        <v>83</v>
      </c>
      <c r="G245" s="13">
        <v>1440</v>
      </c>
      <c r="H245" s="64">
        <f t="shared" ref="H245:H260" si="31">SUM(G245*1.2837)</f>
        <v>1848.528</v>
      </c>
      <c r="I245" s="313">
        <f t="shared" si="23"/>
        <v>1939.1058719999999</v>
      </c>
      <c r="K245">
        <f t="shared" si="27"/>
        <v>90</v>
      </c>
      <c r="L245" s="4" t="s">
        <v>84</v>
      </c>
      <c r="M245" s="112">
        <v>287</v>
      </c>
      <c r="N245" s="64">
        <f t="shared" si="28"/>
        <v>368.42189999999999</v>
      </c>
      <c r="O245" s="313">
        <f t="shared" si="24"/>
        <v>386.47457309999999</v>
      </c>
      <c r="Q245" s="14"/>
    </row>
    <row r="246" spans="1:17" ht="15" thickBot="1">
      <c r="A246">
        <f t="shared" si="29"/>
        <v>28</v>
      </c>
      <c r="B246" s="4" t="s">
        <v>85</v>
      </c>
      <c r="G246" s="13">
        <v>577</v>
      </c>
      <c r="H246" s="64">
        <f t="shared" si="31"/>
        <v>740.69490000000008</v>
      </c>
      <c r="I246" s="313">
        <f t="shared" si="23"/>
        <v>776.98895010000001</v>
      </c>
      <c r="K246">
        <f t="shared" si="27"/>
        <v>91</v>
      </c>
      <c r="L246" s="4" t="s">
        <v>86</v>
      </c>
      <c r="M246" s="112" t="s">
        <v>32</v>
      </c>
      <c r="N246" s="64" t="s">
        <v>9</v>
      </c>
      <c r="O246" s="313"/>
      <c r="Q246" s="14"/>
    </row>
    <row r="247" spans="1:17" ht="15" thickBot="1">
      <c r="A247">
        <f t="shared" si="29"/>
        <v>29</v>
      </c>
      <c r="B247" s="4" t="s">
        <v>87</v>
      </c>
      <c r="G247" s="13">
        <v>634</v>
      </c>
      <c r="H247" s="64">
        <f t="shared" si="31"/>
        <v>813.86580000000004</v>
      </c>
      <c r="I247" s="313">
        <f t="shared" si="23"/>
        <v>853.74522419999994</v>
      </c>
      <c r="K247">
        <f t="shared" si="27"/>
        <v>92</v>
      </c>
      <c r="L247" s="4" t="s">
        <v>88</v>
      </c>
      <c r="M247" s="112">
        <v>210</v>
      </c>
      <c r="N247" s="64">
        <f t="shared" si="28"/>
        <v>269.577</v>
      </c>
      <c r="O247" s="313">
        <f t="shared" si="24"/>
        <v>282.78627299999999</v>
      </c>
      <c r="Q247" s="14"/>
    </row>
    <row r="248" spans="1:17" ht="15" thickBot="1">
      <c r="A248">
        <f t="shared" si="29"/>
        <v>30</v>
      </c>
      <c r="B248" s="4" t="s">
        <v>89</v>
      </c>
      <c r="G248" s="13">
        <v>845</v>
      </c>
      <c r="H248" s="64">
        <f t="shared" si="31"/>
        <v>1084.7265</v>
      </c>
      <c r="I248" s="313">
        <f t="shared" si="23"/>
        <v>1137.8780984999999</v>
      </c>
      <c r="K248">
        <f t="shared" si="27"/>
        <v>93</v>
      </c>
      <c r="L248" t="s">
        <v>90</v>
      </c>
      <c r="M248" s="112">
        <v>195</v>
      </c>
      <c r="N248" s="64">
        <f t="shared" si="28"/>
        <v>250.32150000000001</v>
      </c>
      <c r="O248" s="313">
        <f t="shared" si="24"/>
        <v>262.58725349999997</v>
      </c>
      <c r="Q248" s="14"/>
    </row>
    <row r="249" spans="1:17" ht="15" thickBot="1">
      <c r="A249">
        <f t="shared" si="29"/>
        <v>31</v>
      </c>
      <c r="B249" t="s">
        <v>91</v>
      </c>
      <c r="G249" s="13">
        <v>-268</v>
      </c>
      <c r="H249" s="64">
        <f t="shared" si="31"/>
        <v>-344.03160000000003</v>
      </c>
      <c r="I249" s="313">
        <f t="shared" si="23"/>
        <v>-360.88914840000001</v>
      </c>
      <c r="K249">
        <f t="shared" si="27"/>
        <v>94</v>
      </c>
      <c r="L249" s="4" t="s">
        <v>92</v>
      </c>
      <c r="M249" s="112" t="s">
        <v>32</v>
      </c>
      <c r="N249" s="64" t="s">
        <v>9</v>
      </c>
      <c r="O249" s="313"/>
      <c r="Q249" s="14"/>
    </row>
    <row r="250" spans="1:17" ht="15" thickBot="1">
      <c r="A250">
        <f t="shared" si="29"/>
        <v>32</v>
      </c>
      <c r="B250" t="s">
        <v>93</v>
      </c>
      <c r="G250" s="13">
        <v>-211</v>
      </c>
      <c r="H250" s="64">
        <f t="shared" si="31"/>
        <v>-270.86070000000001</v>
      </c>
      <c r="I250" s="313">
        <f t="shared" si="23"/>
        <v>-284.13287429999997</v>
      </c>
      <c r="K250">
        <f t="shared" si="27"/>
        <v>95</v>
      </c>
      <c r="L250" t="s">
        <v>94</v>
      </c>
      <c r="M250" s="112">
        <v>198</v>
      </c>
      <c r="N250" s="64">
        <f t="shared" si="28"/>
        <v>254.17260000000002</v>
      </c>
      <c r="O250" s="313">
        <f t="shared" si="24"/>
        <v>266.62705740000001</v>
      </c>
      <c r="Q250" s="14"/>
    </row>
    <row r="251" spans="1:17" ht="15" thickBot="1">
      <c r="A251">
        <f t="shared" si="29"/>
        <v>33</v>
      </c>
      <c r="B251" t="s">
        <v>95</v>
      </c>
      <c r="G251" s="13">
        <v>1096</v>
      </c>
      <c r="H251" s="64">
        <f t="shared" si="31"/>
        <v>1406.9352000000001</v>
      </c>
      <c r="I251" s="313">
        <f t="shared" si="23"/>
        <v>1475.8750248000001</v>
      </c>
      <c r="K251">
        <f t="shared" si="27"/>
        <v>96</v>
      </c>
      <c r="L251" t="s">
        <v>96</v>
      </c>
      <c r="M251" s="112">
        <v>3795</v>
      </c>
      <c r="N251" s="64">
        <f t="shared" si="28"/>
        <v>4871.6415000000006</v>
      </c>
      <c r="O251" s="313">
        <f t="shared" si="24"/>
        <v>5110.3519335000001</v>
      </c>
      <c r="Q251" s="14"/>
    </row>
    <row r="252" spans="1:17" ht="15" thickBot="1">
      <c r="A252">
        <f t="shared" si="29"/>
        <v>34</v>
      </c>
      <c r="B252" t="s">
        <v>97</v>
      </c>
      <c r="G252" s="13">
        <v>2391</v>
      </c>
      <c r="H252" s="64">
        <f t="shared" si="31"/>
        <v>3069.3267000000001</v>
      </c>
      <c r="I252" s="313">
        <f t="shared" si="23"/>
        <v>3219.7237083</v>
      </c>
      <c r="K252">
        <f t="shared" si="27"/>
        <v>97</v>
      </c>
      <c r="L252" t="s">
        <v>201</v>
      </c>
      <c r="M252" s="112" t="s">
        <v>202</v>
      </c>
      <c r="N252" s="64" t="s">
        <v>698</v>
      </c>
      <c r="O252" s="313"/>
      <c r="Q252" s="14"/>
    </row>
    <row r="253" spans="1:17" ht="15" thickBot="1">
      <c r="A253">
        <f t="shared" si="29"/>
        <v>35</v>
      </c>
      <c r="B253" t="s">
        <v>99</v>
      </c>
      <c r="G253" s="13">
        <v>-212</v>
      </c>
      <c r="H253" s="64">
        <f t="shared" si="31"/>
        <v>-272.14440000000002</v>
      </c>
      <c r="I253" s="313">
        <f t="shared" si="23"/>
        <v>-285.4794756</v>
      </c>
      <c r="K253">
        <f t="shared" si="27"/>
        <v>98</v>
      </c>
      <c r="L253" s="4" t="s">
        <v>100</v>
      </c>
      <c r="M253" s="112">
        <v>2980</v>
      </c>
      <c r="N253" s="64">
        <f t="shared" si="28"/>
        <v>3825.4260000000004</v>
      </c>
      <c r="O253" s="313">
        <f t="shared" si="24"/>
        <v>4012.8718739999999</v>
      </c>
      <c r="Q253" s="14"/>
    </row>
    <row r="254" spans="1:17" ht="15" thickBot="1">
      <c r="A254">
        <f t="shared" si="29"/>
        <v>36</v>
      </c>
      <c r="B254" t="s">
        <v>101</v>
      </c>
      <c r="G254" s="13">
        <v>-108</v>
      </c>
      <c r="H254" s="64">
        <f t="shared" si="31"/>
        <v>-138.6396</v>
      </c>
      <c r="I254" s="313">
        <f t="shared" si="23"/>
        <v>-145.43294039999998</v>
      </c>
      <c r="K254">
        <f t="shared" si="27"/>
        <v>99</v>
      </c>
      <c r="L254" s="4" t="s">
        <v>102</v>
      </c>
      <c r="M254" s="112">
        <v>6234</v>
      </c>
      <c r="N254" s="64">
        <f t="shared" si="28"/>
        <v>8002.5858000000007</v>
      </c>
      <c r="O254" s="313">
        <f t="shared" si="24"/>
        <v>8394.7125042000007</v>
      </c>
      <c r="Q254" s="14"/>
    </row>
    <row r="255" spans="1:17" ht="15" thickBot="1">
      <c r="A255">
        <f t="shared" si="29"/>
        <v>37</v>
      </c>
      <c r="B255" t="s">
        <v>103</v>
      </c>
      <c r="G255" s="13">
        <v>81</v>
      </c>
      <c r="H255" s="64">
        <f t="shared" si="31"/>
        <v>103.97970000000001</v>
      </c>
      <c r="I255" s="313">
        <f t="shared" si="23"/>
        <v>109.07470530000001</v>
      </c>
      <c r="K255">
        <f t="shared" si="27"/>
        <v>100</v>
      </c>
      <c r="L255" s="4" t="s">
        <v>104</v>
      </c>
      <c r="M255" s="112">
        <v>4861</v>
      </c>
      <c r="N255" s="64">
        <f t="shared" si="28"/>
        <v>6240.0657000000001</v>
      </c>
      <c r="O255" s="313">
        <f t="shared" si="24"/>
        <v>6545.8289193000001</v>
      </c>
      <c r="Q255" s="14"/>
    </row>
    <row r="256" spans="1:17" ht="15" thickBot="1">
      <c r="A256">
        <f t="shared" si="29"/>
        <v>38</v>
      </c>
      <c r="B256" t="s">
        <v>105</v>
      </c>
      <c r="G256" s="13">
        <v>81</v>
      </c>
      <c r="H256" s="64">
        <f t="shared" si="31"/>
        <v>103.97970000000001</v>
      </c>
      <c r="I256" s="313">
        <f t="shared" si="23"/>
        <v>109.07470530000001</v>
      </c>
      <c r="K256">
        <f t="shared" si="27"/>
        <v>101</v>
      </c>
      <c r="L256" t="s">
        <v>106</v>
      </c>
      <c r="M256" s="112">
        <v>4976</v>
      </c>
      <c r="N256" s="64">
        <f t="shared" si="28"/>
        <v>6387.6912000000002</v>
      </c>
      <c r="O256" s="313">
        <f t="shared" si="24"/>
        <v>6700.6880688000001</v>
      </c>
      <c r="Q256" s="14"/>
    </row>
    <row r="257" spans="1:17" ht="15" thickBot="1">
      <c r="A257">
        <f t="shared" si="29"/>
        <v>39</v>
      </c>
      <c r="B257" t="s">
        <v>107</v>
      </c>
      <c r="G257" s="13">
        <v>-508</v>
      </c>
      <c r="H257" s="64">
        <f t="shared" si="31"/>
        <v>-652.11959999999999</v>
      </c>
      <c r="I257" s="313">
        <f t="shared" si="23"/>
        <v>-684.07346039999993</v>
      </c>
      <c r="K257">
        <f t="shared" si="27"/>
        <v>102</v>
      </c>
      <c r="L257" s="4" t="s">
        <v>108</v>
      </c>
      <c r="M257" s="112">
        <v>402</v>
      </c>
      <c r="N257" s="64">
        <f t="shared" si="28"/>
        <v>516.04740000000004</v>
      </c>
      <c r="O257" s="313">
        <f t="shared" si="24"/>
        <v>541.33372259999999</v>
      </c>
      <c r="Q257" s="14"/>
    </row>
    <row r="258" spans="1:17" ht="15" thickBot="1">
      <c r="A258">
        <f t="shared" si="29"/>
        <v>40</v>
      </c>
      <c r="B258" t="s">
        <v>109</v>
      </c>
      <c r="G258" s="13">
        <v>379</v>
      </c>
      <c r="H258" s="64">
        <f t="shared" si="31"/>
        <v>486.52230000000003</v>
      </c>
      <c r="I258" s="313">
        <f t="shared" si="23"/>
        <v>510.3618927</v>
      </c>
      <c r="K258">
        <f t="shared" si="27"/>
        <v>103</v>
      </c>
      <c r="L258" s="4" t="s">
        <v>110</v>
      </c>
      <c r="M258" s="112">
        <v>609</v>
      </c>
      <c r="N258" s="64">
        <f t="shared" si="28"/>
        <v>781.77330000000006</v>
      </c>
      <c r="O258" s="313">
        <f t="shared" si="24"/>
        <v>820.0801917</v>
      </c>
      <c r="Q258" s="14"/>
    </row>
    <row r="259" spans="1:17" ht="15" thickBot="1">
      <c r="A259">
        <f t="shared" si="29"/>
        <v>41</v>
      </c>
      <c r="B259" t="s">
        <v>111</v>
      </c>
      <c r="G259" s="13">
        <v>910</v>
      </c>
      <c r="H259" s="64">
        <f t="shared" si="31"/>
        <v>1168.1670000000001</v>
      </c>
      <c r="I259" s="313">
        <f t="shared" si="23"/>
        <v>1225.407183</v>
      </c>
      <c r="K259">
        <f t="shared" si="27"/>
        <v>104</v>
      </c>
      <c r="L259" s="4" t="s">
        <v>112</v>
      </c>
      <c r="M259" s="112">
        <v>1350</v>
      </c>
      <c r="N259" s="64">
        <f t="shared" si="28"/>
        <v>1732.9950000000001</v>
      </c>
      <c r="O259" s="313">
        <f t="shared" si="24"/>
        <v>1817.9117550000001</v>
      </c>
      <c r="Q259" s="14"/>
    </row>
    <row r="260" spans="1:17" ht="15" thickBot="1">
      <c r="A260">
        <f t="shared" si="29"/>
        <v>42</v>
      </c>
      <c r="B260" s="4" t="s">
        <v>113</v>
      </c>
      <c r="G260" s="13">
        <v>114</v>
      </c>
      <c r="H260" s="64">
        <f t="shared" si="31"/>
        <v>146.34180000000001</v>
      </c>
      <c r="I260" s="313">
        <f t="shared" si="23"/>
        <v>153.5125482</v>
      </c>
      <c r="K260">
        <f t="shared" si="27"/>
        <v>105</v>
      </c>
      <c r="L260" t="s">
        <v>114</v>
      </c>
      <c r="M260" s="112">
        <v>3359</v>
      </c>
      <c r="N260" s="64">
        <f t="shared" si="28"/>
        <v>4311.9483</v>
      </c>
      <c r="O260" s="313">
        <f t="shared" si="24"/>
        <v>4523.2337667000002</v>
      </c>
      <c r="Q260" s="14"/>
    </row>
    <row r="261" spans="1:17" ht="15" thickBot="1">
      <c r="A261">
        <f t="shared" si="29"/>
        <v>43</v>
      </c>
      <c r="B261" s="4" t="s">
        <v>115</v>
      </c>
      <c r="G261" s="13" t="s">
        <v>32</v>
      </c>
      <c r="H261" s="64" t="s">
        <v>9</v>
      </c>
      <c r="I261" s="313"/>
      <c r="K261">
        <f t="shared" si="27"/>
        <v>106</v>
      </c>
      <c r="L261" t="s">
        <v>116</v>
      </c>
      <c r="M261" s="112">
        <v>4636</v>
      </c>
      <c r="N261" s="64">
        <f t="shared" si="28"/>
        <v>5951.2332000000006</v>
      </c>
      <c r="O261" s="313">
        <f t="shared" si="24"/>
        <v>6242.8436268000005</v>
      </c>
      <c r="Q261" s="14"/>
    </row>
    <row r="262" spans="1:17" ht="15" thickBot="1">
      <c r="A262">
        <f t="shared" si="29"/>
        <v>44</v>
      </c>
      <c r="B262" s="4" t="s">
        <v>117</v>
      </c>
      <c r="G262" s="13" t="s">
        <v>32</v>
      </c>
      <c r="H262" s="64" t="s">
        <v>9</v>
      </c>
      <c r="I262" s="313"/>
      <c r="K262">
        <f t="shared" si="27"/>
        <v>107</v>
      </c>
      <c r="L262" t="s">
        <v>118</v>
      </c>
      <c r="M262" s="112">
        <v>6050</v>
      </c>
      <c r="N262" s="64">
        <f t="shared" si="28"/>
        <v>7766.3850000000002</v>
      </c>
      <c r="O262" s="313">
        <f t="shared" si="24"/>
        <v>8146.9378649999999</v>
      </c>
      <c r="Q262" s="14"/>
    </row>
    <row r="263" spans="1:17" ht="15" thickBot="1">
      <c r="A263">
        <f t="shared" si="29"/>
        <v>45</v>
      </c>
      <c r="B263" t="s">
        <v>119</v>
      </c>
      <c r="G263" s="13">
        <v>281</v>
      </c>
      <c r="H263" s="64">
        <f t="shared" ref="H263:H271" si="32">SUM(G263*1.2837)</f>
        <v>360.71970000000005</v>
      </c>
      <c r="I263" s="313">
        <f t="shared" si="23"/>
        <v>378.39496530000002</v>
      </c>
      <c r="K263">
        <f t="shared" si="27"/>
        <v>108</v>
      </c>
      <c r="L263" t="s">
        <v>120</v>
      </c>
      <c r="M263" s="112">
        <v>2478</v>
      </c>
      <c r="N263" s="64">
        <f t="shared" si="28"/>
        <v>3181.0086000000001</v>
      </c>
      <c r="O263" s="313">
        <f t="shared" si="24"/>
        <v>3336.8780213999999</v>
      </c>
      <c r="Q263" s="14"/>
    </row>
    <row r="264" spans="1:17" ht="15" thickBot="1">
      <c r="A264">
        <f t="shared" si="29"/>
        <v>46</v>
      </c>
      <c r="B264" t="s">
        <v>121</v>
      </c>
      <c r="G264" s="13">
        <v>11</v>
      </c>
      <c r="H264" s="64">
        <f t="shared" si="32"/>
        <v>14.120700000000001</v>
      </c>
      <c r="I264" s="313">
        <f t="shared" si="23"/>
        <v>14.8126143</v>
      </c>
      <c r="K264">
        <f t="shared" si="27"/>
        <v>109</v>
      </c>
      <c r="L264" t="s">
        <v>122</v>
      </c>
      <c r="M264" s="112">
        <v>3032</v>
      </c>
      <c r="N264" s="64">
        <f t="shared" si="28"/>
        <v>3892.1784000000002</v>
      </c>
      <c r="O264" s="313">
        <f t="shared" si="24"/>
        <v>4082.8951416</v>
      </c>
      <c r="Q264" s="14"/>
    </row>
    <row r="265" spans="1:17" ht="15" thickBot="1">
      <c r="A265">
        <f t="shared" si="29"/>
        <v>47</v>
      </c>
      <c r="B265" t="s">
        <v>123</v>
      </c>
      <c r="G265" s="13">
        <v>179</v>
      </c>
      <c r="H265" s="64">
        <f t="shared" si="32"/>
        <v>229.78230000000002</v>
      </c>
      <c r="I265" s="313">
        <f t="shared" si="23"/>
        <v>241.04163270000001</v>
      </c>
      <c r="K265">
        <f t="shared" si="27"/>
        <v>110</v>
      </c>
      <c r="L265" t="s">
        <v>124</v>
      </c>
      <c r="M265" s="112">
        <v>3188</v>
      </c>
      <c r="N265" s="64">
        <f t="shared" si="28"/>
        <v>4092.4356000000002</v>
      </c>
      <c r="O265" s="313">
        <f t="shared" si="24"/>
        <v>4292.9649443999997</v>
      </c>
      <c r="Q265" s="14"/>
    </row>
    <row r="266" spans="1:17" ht="15" thickBot="1">
      <c r="A266">
        <f t="shared" si="29"/>
        <v>48</v>
      </c>
      <c r="B266" t="s">
        <v>125</v>
      </c>
      <c r="G266" s="13">
        <v>479</v>
      </c>
      <c r="H266" s="64">
        <f t="shared" si="32"/>
        <v>614.89229999999998</v>
      </c>
      <c r="I266" s="313">
        <f t="shared" si="23"/>
        <v>645.02202269999998</v>
      </c>
      <c r="K266">
        <f t="shared" si="27"/>
        <v>111</v>
      </c>
      <c r="L266" t="s">
        <v>126</v>
      </c>
      <c r="M266" s="112">
        <v>3998</v>
      </c>
      <c r="N266" s="64">
        <f t="shared" si="28"/>
        <v>5132.2326000000003</v>
      </c>
      <c r="O266" s="313">
        <f t="shared" si="24"/>
        <v>5383.7119973999997</v>
      </c>
      <c r="Q266" s="14"/>
    </row>
    <row r="267" spans="1:17" ht="15" thickBot="1">
      <c r="A267">
        <f t="shared" si="29"/>
        <v>49</v>
      </c>
      <c r="B267" t="s">
        <v>127</v>
      </c>
      <c r="G267" s="13">
        <v>615</v>
      </c>
      <c r="H267" s="64">
        <f t="shared" si="32"/>
        <v>789.47550000000001</v>
      </c>
      <c r="I267" s="313">
        <f t="shared" si="23"/>
        <v>828.15979949999996</v>
      </c>
      <c r="K267">
        <f t="shared" si="27"/>
        <v>112</v>
      </c>
      <c r="L267" t="s">
        <v>128</v>
      </c>
      <c r="M267" s="112">
        <v>4358</v>
      </c>
      <c r="N267" s="64">
        <f t="shared" si="28"/>
        <v>5594.3645999999999</v>
      </c>
      <c r="O267" s="313">
        <f t="shared" si="24"/>
        <v>5868.4884653999998</v>
      </c>
      <c r="Q267" s="14"/>
    </row>
    <row r="268" spans="1:17" ht="15" thickBot="1">
      <c r="A268">
        <f t="shared" si="29"/>
        <v>50</v>
      </c>
      <c r="B268" s="4" t="s">
        <v>129</v>
      </c>
      <c r="G268" s="13">
        <v>8040</v>
      </c>
      <c r="H268" s="64">
        <f t="shared" si="32"/>
        <v>10320.948</v>
      </c>
      <c r="I268" s="313">
        <f t="shared" si="23"/>
        <v>10826.674451999999</v>
      </c>
      <c r="K268">
        <f t="shared" si="27"/>
        <v>113</v>
      </c>
      <c r="L268" s="4" t="s">
        <v>130</v>
      </c>
      <c r="M268" s="112">
        <v>4780</v>
      </c>
      <c r="N268" s="64">
        <f t="shared" si="28"/>
        <v>6136.0860000000002</v>
      </c>
      <c r="O268" s="313">
        <f t="shared" si="24"/>
        <v>6436.7542139999996</v>
      </c>
      <c r="Q268" s="14"/>
    </row>
    <row r="269" spans="1:17" ht="15" thickBot="1">
      <c r="A269">
        <f t="shared" si="29"/>
        <v>51</v>
      </c>
      <c r="B269" s="4" t="s">
        <v>131</v>
      </c>
      <c r="G269" s="13">
        <v>9145</v>
      </c>
      <c r="H269" s="64">
        <f t="shared" si="32"/>
        <v>11739.4365</v>
      </c>
      <c r="I269" s="313">
        <f t="shared" si="23"/>
        <v>12314.668888499999</v>
      </c>
      <c r="K269">
        <f t="shared" si="27"/>
        <v>114</v>
      </c>
      <c r="L269" s="4" t="s">
        <v>132</v>
      </c>
      <c r="M269" s="112">
        <v>4863</v>
      </c>
      <c r="N269" s="64">
        <f t="shared" si="28"/>
        <v>6242.6331</v>
      </c>
      <c r="O269" s="313">
        <f t="shared" si="24"/>
        <v>6548.5221218999995</v>
      </c>
      <c r="Q269" s="14"/>
    </row>
    <row r="270" spans="1:17" ht="15" thickBot="1">
      <c r="A270">
        <f t="shared" si="29"/>
        <v>52</v>
      </c>
      <c r="B270" s="4" t="s">
        <v>133</v>
      </c>
      <c r="G270" s="13">
        <v>7360</v>
      </c>
      <c r="H270" s="64">
        <f t="shared" si="32"/>
        <v>9448.0320000000011</v>
      </c>
      <c r="I270" s="313">
        <f t="shared" si="23"/>
        <v>9910.9855680000001</v>
      </c>
      <c r="K270">
        <f t="shared" si="27"/>
        <v>115</v>
      </c>
      <c r="L270" s="4" t="s">
        <v>134</v>
      </c>
      <c r="M270" s="112">
        <v>1975</v>
      </c>
      <c r="N270" s="64">
        <f t="shared" si="28"/>
        <v>2535.3075000000003</v>
      </c>
      <c r="O270" s="313">
        <f t="shared" si="24"/>
        <v>2659.5375675</v>
      </c>
      <c r="Q270" s="14"/>
    </row>
    <row r="271" spans="1:17" ht="15" thickBot="1">
      <c r="A271">
        <f t="shared" si="29"/>
        <v>53</v>
      </c>
      <c r="B271" s="4" t="s">
        <v>135</v>
      </c>
      <c r="G271" s="13">
        <v>7750</v>
      </c>
      <c r="H271" s="64">
        <f t="shared" si="32"/>
        <v>9948.6750000000011</v>
      </c>
      <c r="I271" s="313">
        <f t="shared" si="23"/>
        <v>10436.160075</v>
      </c>
      <c r="K271">
        <f t="shared" si="27"/>
        <v>116</v>
      </c>
      <c r="L271" s="4" t="s">
        <v>136</v>
      </c>
      <c r="M271" s="112">
        <v>743</v>
      </c>
      <c r="N271" s="64">
        <f t="shared" si="28"/>
        <v>953.78910000000008</v>
      </c>
      <c r="O271" s="313">
        <f t="shared" si="24"/>
        <v>1000.5247659</v>
      </c>
      <c r="Q271" s="14"/>
    </row>
    <row r="272" spans="1:17" ht="15" thickBot="1">
      <c r="A272">
        <f t="shared" si="29"/>
        <v>54</v>
      </c>
      <c r="B272" s="4" t="s">
        <v>137</v>
      </c>
      <c r="G272" s="13" t="s">
        <v>32</v>
      </c>
      <c r="H272" s="64" t="s">
        <v>9</v>
      </c>
      <c r="I272" s="313"/>
      <c r="K272">
        <f t="shared" si="27"/>
        <v>117</v>
      </c>
      <c r="L272" t="s">
        <v>138</v>
      </c>
      <c r="M272" s="112">
        <v>4697</v>
      </c>
      <c r="N272" s="64">
        <f t="shared" si="28"/>
        <v>6029.5389000000005</v>
      </c>
      <c r="O272" s="313">
        <f t="shared" si="24"/>
        <v>6324.9863060999996</v>
      </c>
      <c r="Q272" s="14"/>
    </row>
    <row r="273" spans="1:18" ht="15" thickBot="1">
      <c r="A273">
        <f t="shared" si="29"/>
        <v>55</v>
      </c>
      <c r="B273" s="4" t="s">
        <v>139</v>
      </c>
      <c r="G273" s="13">
        <v>4440</v>
      </c>
      <c r="H273" s="64">
        <f t="shared" ref="H273:H281" si="33">SUM(G273*1.2837)</f>
        <v>5699.6280000000006</v>
      </c>
      <c r="I273" s="313">
        <f t="shared" si="23"/>
        <v>5978.909772</v>
      </c>
      <c r="K273">
        <f t="shared" si="27"/>
        <v>118</v>
      </c>
      <c r="L273" t="s">
        <v>140</v>
      </c>
      <c r="M273" s="112">
        <v>2261</v>
      </c>
      <c r="N273" s="64">
        <f t="shared" si="28"/>
        <v>2902.4457000000002</v>
      </c>
      <c r="O273" s="313">
        <f t="shared" si="24"/>
        <v>3044.6655393000001</v>
      </c>
      <c r="Q273" s="14"/>
    </row>
    <row r="274" spans="1:18" ht="15" thickBot="1">
      <c r="A274">
        <f t="shared" si="29"/>
        <v>56</v>
      </c>
      <c r="B274" s="4" t="s">
        <v>141</v>
      </c>
      <c r="G274" s="13">
        <v>5755</v>
      </c>
      <c r="H274" s="64">
        <f t="shared" si="33"/>
        <v>7387.6935000000003</v>
      </c>
      <c r="I274" s="313">
        <f t="shared" si="23"/>
        <v>7749.6904814999998</v>
      </c>
      <c r="K274">
        <f t="shared" si="27"/>
        <v>119</v>
      </c>
      <c r="L274" t="s">
        <v>142</v>
      </c>
      <c r="M274" s="112">
        <v>7345</v>
      </c>
      <c r="N274" s="64">
        <f t="shared" si="28"/>
        <v>9428.7764999999999</v>
      </c>
      <c r="O274" s="313">
        <f t="shared" si="24"/>
        <v>9890.7865485000002</v>
      </c>
      <c r="Q274" s="14"/>
    </row>
    <row r="275" spans="1:18" ht="15" thickBot="1">
      <c r="A275">
        <f t="shared" si="29"/>
        <v>57</v>
      </c>
      <c r="B275" s="4" t="s">
        <v>143</v>
      </c>
      <c r="G275" s="13">
        <v>4730</v>
      </c>
      <c r="H275" s="64">
        <f t="shared" si="33"/>
        <v>6071.9010000000007</v>
      </c>
      <c r="I275" s="313">
        <f t="shared" si="23"/>
        <v>6369.4241490000004</v>
      </c>
      <c r="K275">
        <f t="shared" si="27"/>
        <v>120</v>
      </c>
      <c r="L275" s="4" t="s">
        <v>144</v>
      </c>
      <c r="M275" s="112">
        <v>4988</v>
      </c>
      <c r="N275" s="64">
        <f t="shared" si="28"/>
        <v>6403.0956000000006</v>
      </c>
      <c r="O275" s="313">
        <f t="shared" si="24"/>
        <v>6716.8472843999998</v>
      </c>
      <c r="Q275" s="14"/>
    </row>
    <row r="276" spans="1:18" ht="15" thickBot="1">
      <c r="A276">
        <f t="shared" si="29"/>
        <v>58</v>
      </c>
      <c r="B276" s="4" t="s">
        <v>145</v>
      </c>
      <c r="G276" s="13">
        <v>8845</v>
      </c>
      <c r="H276" s="64">
        <f t="shared" si="33"/>
        <v>11354.326500000001</v>
      </c>
      <c r="I276" s="313">
        <f t="shared" si="23"/>
        <v>11910.6884985</v>
      </c>
      <c r="K276">
        <f t="shared" si="27"/>
        <v>121</v>
      </c>
      <c r="L276" s="12" t="s">
        <v>146</v>
      </c>
      <c r="M276" s="112">
        <v>5902</v>
      </c>
      <c r="N276" s="64">
        <f t="shared" si="28"/>
        <v>7576.3974000000007</v>
      </c>
      <c r="O276" s="313">
        <f t="shared" si="24"/>
        <v>7947.6408726</v>
      </c>
      <c r="Q276" s="14"/>
    </row>
    <row r="277" spans="1:18" ht="15" thickBot="1">
      <c r="A277">
        <f t="shared" si="29"/>
        <v>59</v>
      </c>
      <c r="B277" s="4" t="s">
        <v>147</v>
      </c>
      <c r="G277" s="13">
        <v>12075</v>
      </c>
      <c r="H277" s="64">
        <f t="shared" si="33"/>
        <v>15500.677500000002</v>
      </c>
      <c r="I277" s="313">
        <f t="shared" si="23"/>
        <v>16260.210697500001</v>
      </c>
      <c r="K277">
        <f t="shared" si="27"/>
        <v>122</v>
      </c>
      <c r="L277" s="4" t="s">
        <v>148</v>
      </c>
      <c r="M277" s="112">
        <v>1695</v>
      </c>
      <c r="N277" s="64">
        <f t="shared" si="28"/>
        <v>2175.8715000000002</v>
      </c>
      <c r="O277" s="313">
        <f t="shared" si="24"/>
        <v>2282.4892035000003</v>
      </c>
      <c r="Q277" s="14"/>
    </row>
    <row r="278" spans="1:18" ht="15" thickBot="1">
      <c r="A278">
        <f t="shared" si="29"/>
        <v>60</v>
      </c>
      <c r="B278" s="4" t="s">
        <v>149</v>
      </c>
      <c r="G278" s="13">
        <v>1430</v>
      </c>
      <c r="H278" s="64">
        <f t="shared" si="33"/>
        <v>1835.691</v>
      </c>
      <c r="I278" s="313">
        <f t="shared" si="23"/>
        <v>1925.6398589999999</v>
      </c>
      <c r="K278">
        <f t="shared" si="27"/>
        <v>123</v>
      </c>
      <c r="L278" t="s">
        <v>150</v>
      </c>
      <c r="M278" s="112">
        <v>3260</v>
      </c>
      <c r="N278" s="210">
        <f t="shared" si="28"/>
        <v>4184.8620000000001</v>
      </c>
      <c r="O278" s="313">
        <f t="shared" si="24"/>
        <v>4389.9202379999997</v>
      </c>
      <c r="P278" s="34" t="s">
        <v>738</v>
      </c>
      <c r="Q278" s="211"/>
      <c r="R278" s="34"/>
    </row>
    <row r="279" spans="1:18" ht="15" thickBot="1">
      <c r="A279">
        <f t="shared" si="29"/>
        <v>61</v>
      </c>
      <c r="B279" s="4" t="s">
        <v>151</v>
      </c>
      <c r="G279" s="13">
        <v>1775</v>
      </c>
      <c r="H279" s="64">
        <f t="shared" si="33"/>
        <v>2278.5675000000001</v>
      </c>
      <c r="I279" s="313">
        <f t="shared" si="23"/>
        <v>2390.2173075000001</v>
      </c>
      <c r="K279">
        <f t="shared" si="27"/>
        <v>124</v>
      </c>
      <c r="L279" t="s">
        <v>152</v>
      </c>
      <c r="M279" s="112">
        <v>3160</v>
      </c>
      <c r="N279" s="210">
        <f t="shared" si="28"/>
        <v>4056.4920000000002</v>
      </c>
      <c r="O279" s="313">
        <f t="shared" si="24"/>
        <v>4255.2601079999995</v>
      </c>
      <c r="Q279" s="14"/>
    </row>
    <row r="280" spans="1:18" ht="15" thickBot="1">
      <c r="A280">
        <f t="shared" si="29"/>
        <v>62</v>
      </c>
      <c r="B280" s="4" t="s">
        <v>153</v>
      </c>
      <c r="G280" s="13">
        <v>2030</v>
      </c>
      <c r="H280" s="64">
        <f t="shared" si="33"/>
        <v>2605.9110000000001</v>
      </c>
      <c r="I280" s="313">
        <f t="shared" si="23"/>
        <v>2733.6006389999998</v>
      </c>
      <c r="K280">
        <f t="shared" si="27"/>
        <v>125</v>
      </c>
      <c r="L280" t="s">
        <v>154</v>
      </c>
      <c r="M280" s="112">
        <v>3410</v>
      </c>
      <c r="N280" s="210">
        <f t="shared" si="28"/>
        <v>4377.4170000000004</v>
      </c>
      <c r="O280" s="313">
        <f t="shared" si="24"/>
        <v>4591.910433</v>
      </c>
      <c r="Q280" s="14"/>
    </row>
    <row r="281" spans="1:18" ht="15" thickBot="1">
      <c r="A281">
        <f t="shared" si="29"/>
        <v>63</v>
      </c>
      <c r="B281" s="4" t="s">
        <v>155</v>
      </c>
      <c r="G281" s="13">
        <v>3875</v>
      </c>
      <c r="H281" s="64">
        <f t="shared" si="33"/>
        <v>4974.3375000000005</v>
      </c>
      <c r="I281" s="313">
        <f t="shared" si="23"/>
        <v>5218.0800374999999</v>
      </c>
      <c r="K281">
        <f t="shared" si="27"/>
        <v>126</v>
      </c>
      <c r="L281" t="s">
        <v>156</v>
      </c>
      <c r="M281" s="112">
        <v>3710</v>
      </c>
      <c r="N281" s="210">
        <f t="shared" si="28"/>
        <v>4762.527</v>
      </c>
      <c r="O281" s="313">
        <f t="shared" si="24"/>
        <v>4995.8908229999997</v>
      </c>
      <c r="Q281" s="14"/>
    </row>
    <row r="282" spans="1:18" ht="15" thickBot="1">
      <c r="G282" s="14"/>
      <c r="H282" s="65"/>
      <c r="I282" s="65"/>
      <c r="J282" s="61"/>
      <c r="K282">
        <f>(K281+1)</f>
        <v>127</v>
      </c>
      <c r="L282" t="s">
        <v>157</v>
      </c>
      <c r="M282" s="112">
        <v>4010</v>
      </c>
      <c r="N282" s="210">
        <f t="shared" si="28"/>
        <v>5147.6370000000006</v>
      </c>
      <c r="O282" s="313">
        <f t="shared" si="24"/>
        <v>5399.8712130000004</v>
      </c>
      <c r="Q282" s="14"/>
    </row>
    <row r="283" spans="1:18" ht="15" thickBot="1">
      <c r="G283" s="14"/>
      <c r="H283" s="14"/>
      <c r="I283" s="14"/>
      <c r="K283">
        <f t="shared" si="27"/>
        <v>128</v>
      </c>
      <c r="L283" t="s">
        <v>158</v>
      </c>
      <c r="M283" s="112">
        <v>1688</v>
      </c>
      <c r="N283" s="64">
        <f t="shared" si="28"/>
        <v>2166.8856000000001</v>
      </c>
      <c r="O283" s="313">
        <f t="shared" ref="O283:O292" si="34">N283*1.049</f>
        <v>2273.0629943999998</v>
      </c>
      <c r="Q283" s="14"/>
    </row>
    <row r="284" spans="1:18" ht="15" thickBot="1">
      <c r="G284" s="14"/>
      <c r="H284" s="14"/>
      <c r="I284" s="14"/>
      <c r="K284">
        <f>(K283+1)</f>
        <v>129</v>
      </c>
      <c r="L284" t="s">
        <v>160</v>
      </c>
      <c r="M284" s="112">
        <v>1860</v>
      </c>
      <c r="N284" s="64">
        <f t="shared" ref="N284:N292" si="35">SUM(M284*1.2837)</f>
        <v>2387.6820000000002</v>
      </c>
      <c r="O284" s="313">
        <f t="shared" si="34"/>
        <v>2504.678418</v>
      </c>
      <c r="Q284" s="14"/>
    </row>
    <row r="285" spans="1:18" ht="15" thickBot="1">
      <c r="G285" s="14"/>
      <c r="H285" s="14"/>
      <c r="I285" s="14"/>
      <c r="K285">
        <f>(K284+1)</f>
        <v>130</v>
      </c>
      <c r="L285" t="s">
        <v>161</v>
      </c>
      <c r="M285" s="112">
        <v>1998</v>
      </c>
      <c r="N285" s="64">
        <f t="shared" si="35"/>
        <v>2564.8326000000002</v>
      </c>
      <c r="O285" s="313">
        <f t="shared" si="34"/>
        <v>2690.5093974000001</v>
      </c>
      <c r="Q285" s="14"/>
    </row>
    <row r="286" spans="1:18" ht="15" thickBot="1">
      <c r="G286" s="14"/>
      <c r="H286" s="14"/>
      <c r="I286" s="14"/>
      <c r="K286">
        <f>(K285+1)</f>
        <v>131</v>
      </c>
      <c r="L286" t="s">
        <v>162</v>
      </c>
      <c r="M286" s="112">
        <v>2131</v>
      </c>
      <c r="N286" s="64">
        <f t="shared" si="35"/>
        <v>2735.5647000000004</v>
      </c>
      <c r="O286" s="313">
        <f t="shared" si="34"/>
        <v>2869.6073703000002</v>
      </c>
      <c r="Q286" s="14"/>
    </row>
    <row r="287" spans="1:18" ht="15" thickBot="1">
      <c r="G287" s="14"/>
      <c r="H287" s="14"/>
      <c r="I287" s="14"/>
      <c r="K287">
        <f>(K286+1)</f>
        <v>132</v>
      </c>
      <c r="L287" t="s">
        <v>163</v>
      </c>
      <c r="M287" s="112">
        <v>1900</v>
      </c>
      <c r="N287" s="64">
        <f t="shared" si="35"/>
        <v>2439.0300000000002</v>
      </c>
      <c r="O287" s="313">
        <f t="shared" si="34"/>
        <v>2558.5424699999999</v>
      </c>
      <c r="Q287" s="14"/>
    </row>
    <row r="288" spans="1:18" ht="15" thickBot="1">
      <c r="G288" s="14"/>
      <c r="H288" s="14"/>
      <c r="I288" s="14"/>
      <c r="K288">
        <f>(K287+1)</f>
        <v>133</v>
      </c>
      <c r="L288" t="s">
        <v>164</v>
      </c>
      <c r="M288" s="112">
        <v>1870</v>
      </c>
      <c r="N288" s="64">
        <f t="shared" si="35"/>
        <v>2400.5190000000002</v>
      </c>
      <c r="O288" s="313">
        <f t="shared" si="34"/>
        <v>2518.1444310000002</v>
      </c>
      <c r="Q288" s="14"/>
    </row>
    <row r="289" spans="7:17" ht="15" thickBot="1">
      <c r="G289" s="14"/>
      <c r="H289" s="14"/>
      <c r="I289" s="14"/>
      <c r="K289">
        <v>134</v>
      </c>
      <c r="L289" t="s">
        <v>165</v>
      </c>
      <c r="M289" s="112">
        <v>100</v>
      </c>
      <c r="N289" s="64">
        <f t="shared" si="35"/>
        <v>128.37</v>
      </c>
      <c r="O289" s="313">
        <f t="shared" si="34"/>
        <v>134.66013000000001</v>
      </c>
      <c r="Q289" s="14"/>
    </row>
    <row r="290" spans="7:17" ht="15" thickBot="1">
      <c r="G290" s="14"/>
      <c r="H290" s="14"/>
      <c r="I290" s="14"/>
      <c r="K290">
        <v>135</v>
      </c>
      <c r="L290" t="s">
        <v>166</v>
      </c>
      <c r="M290" s="112">
        <v>876</v>
      </c>
      <c r="N290" s="64">
        <f t="shared" si="35"/>
        <v>1124.5212000000001</v>
      </c>
      <c r="O290" s="313">
        <f t="shared" si="34"/>
        <v>1179.6227388</v>
      </c>
      <c r="Q290" s="14"/>
    </row>
    <row r="291" spans="7:17" ht="15" thickBot="1">
      <c r="G291" s="14"/>
      <c r="H291" s="14"/>
      <c r="I291" s="14"/>
      <c r="K291">
        <v>136</v>
      </c>
      <c r="L291" t="s">
        <v>167</v>
      </c>
      <c r="M291" s="112">
        <v>2497</v>
      </c>
      <c r="N291" s="64">
        <f t="shared" si="35"/>
        <v>3205.3989000000001</v>
      </c>
      <c r="O291" s="313">
        <f t="shared" si="34"/>
        <v>3362.4634461000001</v>
      </c>
      <c r="Q291" s="14"/>
    </row>
    <row r="292" spans="7:17" ht="15" thickBot="1">
      <c r="G292" s="14"/>
      <c r="H292" s="14"/>
      <c r="I292" s="14"/>
      <c r="K292">
        <v>137</v>
      </c>
      <c r="L292" t="s">
        <v>168</v>
      </c>
      <c r="M292" s="112">
        <v>60</v>
      </c>
      <c r="N292" s="64">
        <f t="shared" si="35"/>
        <v>77.022000000000006</v>
      </c>
      <c r="O292" s="313">
        <f t="shared" si="34"/>
        <v>80.796077999999994</v>
      </c>
      <c r="Q292" s="14"/>
    </row>
    <row r="293" spans="7:17">
      <c r="M293" s="61"/>
      <c r="N293" s="61"/>
    </row>
    <row r="294" spans="7:17">
      <c r="M294" s="61"/>
      <c r="N294" s="61"/>
    </row>
    <row r="295" spans="7:17">
      <c r="M295" s="61"/>
      <c r="N295" s="61"/>
    </row>
    <row r="296" spans="7:17">
      <c r="M296" s="61"/>
      <c r="N296" s="61"/>
    </row>
    <row r="297" spans="7:17">
      <c r="M297" s="61"/>
      <c r="N297" s="61"/>
    </row>
    <row r="298" spans="7:17">
      <c r="M298" s="61"/>
      <c r="N298" s="61"/>
    </row>
    <row r="299" spans="7:17">
      <c r="M299" s="61"/>
      <c r="N299" s="61"/>
    </row>
    <row r="300" spans="7:17">
      <c r="M300" s="61"/>
      <c r="N300" s="61"/>
    </row>
    <row r="301" spans="7:17">
      <c r="M301" s="61"/>
      <c r="N301" s="61"/>
    </row>
    <row r="302" spans="7:17">
      <c r="M302" s="61"/>
      <c r="N302" s="61"/>
    </row>
    <row r="303" spans="7:17">
      <c r="M303" s="61"/>
      <c r="N303" s="61"/>
    </row>
    <row r="304" spans="7:17">
      <c r="M304" s="61"/>
      <c r="N304" s="61"/>
    </row>
    <row r="305" spans="13:14">
      <c r="M305" s="61"/>
      <c r="N305" s="61"/>
    </row>
    <row r="306" spans="13:14">
      <c r="M306" s="61"/>
      <c r="N306" s="61"/>
    </row>
    <row r="307" spans="13:14">
      <c r="M307" s="61"/>
      <c r="N307" s="61"/>
    </row>
  </sheetData>
  <sheetProtection algorithmName="SHA-512" hashValue="9YH79dFTBcR2WEG7gEQLCRuhT8q7CS8tOkMWENLwmHtKnLscVtEGtNHCNMqRLEybexga1zV8KBZwVvwHMEhAvw==" saltValue="s0wwAY1eYZHPxYAvp5zU4A==" spinCount="100000" sheet="1" objects="1" scenarios="1"/>
  <pageMargins left="0.7" right="0.7" top="0.75" bottom="0.75" header="0.3" footer="0.3"/>
  <pageSetup orientation="portrait" horizont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9DF2-BD41-42AE-9AFB-AE39646A697E}">
  <dimension ref="A2:T383"/>
  <sheetViews>
    <sheetView topLeftCell="A193" workbookViewId="0">
      <selection activeCell="I199" sqref="I199"/>
    </sheetView>
  </sheetViews>
  <sheetFormatPr defaultRowHeight="14.4"/>
  <cols>
    <col min="7" max="7" width="11.77734375" bestFit="1" customWidth="1"/>
    <col min="8" max="8" width="9.5546875" bestFit="1" customWidth="1"/>
    <col min="9" max="9" width="21.33203125" customWidth="1"/>
    <col min="10" max="10" width="29.109375" customWidth="1"/>
    <col min="11" max="11" width="44.33203125" bestFit="1" customWidth="1"/>
    <col min="12" max="12" width="9.109375" bestFit="1" customWidth="1"/>
    <col min="15" max="15" width="27.21875" customWidth="1"/>
    <col min="16" max="16" width="31.109375" bestFit="1" customWidth="1"/>
    <col min="17" max="17" width="11.21875" customWidth="1"/>
  </cols>
  <sheetData>
    <row r="2" spans="2:18">
      <c r="B2" s="1" t="s">
        <v>223</v>
      </c>
      <c r="E2" s="313"/>
      <c r="F2" s="1" t="s">
        <v>888</v>
      </c>
      <c r="J2" s="20" t="s">
        <v>889</v>
      </c>
      <c r="K2" s="48"/>
      <c r="L2" s="48"/>
      <c r="M2" s="48"/>
      <c r="N2" s="48"/>
      <c r="O2" s="48"/>
    </row>
    <row r="3" spans="2:18">
      <c r="J3" s="20" t="s">
        <v>731</v>
      </c>
      <c r="K3" s="48"/>
      <c r="L3" s="48"/>
    </row>
    <row r="4" spans="2:18">
      <c r="K4" s="22"/>
    </row>
    <row r="5" spans="2:18" ht="15" thickBot="1">
      <c r="B5" s="1" t="s">
        <v>1</v>
      </c>
      <c r="G5" s="2" t="s">
        <v>224</v>
      </c>
      <c r="H5" s="1"/>
      <c r="I5" s="1"/>
      <c r="J5" s="1" t="s">
        <v>233</v>
      </c>
      <c r="K5" s="1"/>
      <c r="L5" s="1"/>
      <c r="M5" s="1"/>
      <c r="N5" s="1"/>
      <c r="O5" s="1"/>
      <c r="P5" s="1"/>
      <c r="Q5" s="1"/>
      <c r="R5" s="1"/>
    </row>
    <row r="6" spans="2:18">
      <c r="I6" s="1"/>
      <c r="J6" s="1" t="s">
        <v>234</v>
      </c>
      <c r="K6" s="1"/>
      <c r="L6" s="1"/>
      <c r="M6" s="1"/>
      <c r="N6" s="1"/>
      <c r="O6" s="1"/>
      <c r="P6" s="1"/>
      <c r="Q6" s="1"/>
      <c r="R6" s="1"/>
    </row>
    <row r="7" spans="2:18" ht="15" thickBot="1">
      <c r="B7" s="1" t="s">
        <v>2</v>
      </c>
      <c r="G7" s="2" t="s">
        <v>225</v>
      </c>
      <c r="H7" s="1"/>
      <c r="I7" s="1"/>
    </row>
    <row r="9" spans="2:18" ht="15" thickBot="1">
      <c r="B9" s="3" t="s">
        <v>3</v>
      </c>
      <c r="F9" s="1"/>
      <c r="G9" s="84">
        <v>72750</v>
      </c>
      <c r="H9" s="64">
        <f>93127+4372</f>
        <v>97499</v>
      </c>
      <c r="I9" s="313">
        <f>H9*1.049</f>
        <v>102276.45099999999</v>
      </c>
    </row>
    <row r="10" spans="2:18" ht="15" thickBot="1">
      <c r="B10" s="4" t="s">
        <v>6</v>
      </c>
      <c r="G10" s="61"/>
      <c r="H10" s="61"/>
      <c r="J10" s="3" t="s">
        <v>4</v>
      </c>
      <c r="K10" s="2" t="s">
        <v>204</v>
      </c>
      <c r="L10" t="s">
        <v>5</v>
      </c>
    </row>
    <row r="11" spans="2:18" ht="15" thickBot="1">
      <c r="B11" s="3" t="s">
        <v>8</v>
      </c>
      <c r="G11" s="84">
        <v>72614</v>
      </c>
      <c r="H11" s="64">
        <f>97485+7397</f>
        <v>104882</v>
      </c>
      <c r="I11" s="313">
        <f>H11*1.049+2383</f>
        <v>112404.21799999999</v>
      </c>
      <c r="J11" s="4" t="s">
        <v>7</v>
      </c>
    </row>
    <row r="12" spans="2:18">
      <c r="B12" s="4" t="s">
        <v>10</v>
      </c>
      <c r="G12" s="61"/>
      <c r="H12" s="61"/>
      <c r="J12" s="3"/>
    </row>
    <row r="13" spans="2:18" ht="15" thickBot="1">
      <c r="B13" s="3" t="s">
        <v>11</v>
      </c>
      <c r="G13" s="84" t="s">
        <v>204</v>
      </c>
      <c r="H13" s="61"/>
      <c r="J13" s="4"/>
    </row>
    <row r="14" spans="2:18" ht="15" thickBot="1">
      <c r="B14" s="4" t="s">
        <v>7</v>
      </c>
      <c r="G14" s="61"/>
      <c r="H14" s="61"/>
      <c r="J14" s="3" t="s">
        <v>12</v>
      </c>
      <c r="K14" s="2" t="s">
        <v>204</v>
      </c>
      <c r="L14" t="s">
        <v>5</v>
      </c>
    </row>
    <row r="15" spans="2:18" ht="15" thickBot="1">
      <c r="B15" s="3" t="s">
        <v>14</v>
      </c>
      <c r="G15" s="84" t="s">
        <v>204</v>
      </c>
      <c r="H15" s="61"/>
      <c r="J15" s="4" t="s">
        <v>13</v>
      </c>
    </row>
    <row r="16" spans="2:18">
      <c r="B16" s="4" t="s">
        <v>7</v>
      </c>
      <c r="G16" s="61"/>
      <c r="H16" s="61"/>
    </row>
    <row r="17" spans="1:20" ht="15" thickBot="1">
      <c r="B17" s="3" t="s">
        <v>15</v>
      </c>
      <c r="G17" s="84" t="s">
        <v>204</v>
      </c>
      <c r="H17" s="61"/>
      <c r="J17" s="41" t="s">
        <v>226</v>
      </c>
      <c r="K17" s="7"/>
      <c r="L17" s="7"/>
    </row>
    <row r="18" spans="1:20">
      <c r="B18" s="4" t="s">
        <v>7</v>
      </c>
      <c r="G18" s="61"/>
      <c r="H18" s="61"/>
    </row>
    <row r="19" spans="1:20" ht="15" thickBot="1">
      <c r="B19" s="3" t="s">
        <v>16</v>
      </c>
      <c r="G19" s="84" t="s">
        <v>204</v>
      </c>
      <c r="H19" s="61"/>
    </row>
    <row r="20" spans="1:20">
      <c r="B20" s="4" t="s">
        <v>13</v>
      </c>
      <c r="G20" s="61"/>
      <c r="H20" s="61"/>
    </row>
    <row r="21" spans="1:20" ht="15" thickBot="1">
      <c r="B21" s="3" t="s">
        <v>17</v>
      </c>
      <c r="G21" s="84" t="s">
        <v>204</v>
      </c>
      <c r="H21" s="61"/>
    </row>
    <row r="22" spans="1:20">
      <c r="B22" s="4" t="s">
        <v>13</v>
      </c>
      <c r="G22" s="61"/>
      <c r="H22" s="61"/>
    </row>
    <row r="23" spans="1:20">
      <c r="B23" s="4"/>
      <c r="G23" s="61"/>
      <c r="H23" s="61"/>
      <c r="R23" s="18"/>
    </row>
    <row r="24" spans="1:20">
      <c r="B24" s="3" t="s">
        <v>239</v>
      </c>
      <c r="G24" s="61"/>
      <c r="H24" s="61" t="s">
        <v>715</v>
      </c>
      <c r="L24" t="s">
        <v>715</v>
      </c>
    </row>
    <row r="25" spans="1:20" ht="15" thickBot="1">
      <c r="A25">
        <v>1</v>
      </c>
      <c r="B25" s="4" t="s">
        <v>23</v>
      </c>
      <c r="G25" s="84">
        <v>1365</v>
      </c>
      <c r="H25" s="85">
        <v>2070</v>
      </c>
      <c r="I25" s="313">
        <f t="shared" ref="I25:I83" si="0">H25*1.049</f>
        <v>2171.4299999999998</v>
      </c>
      <c r="J25" s="39">
        <f>(A87+1)</f>
        <v>64</v>
      </c>
      <c r="K25" s="59" t="s">
        <v>24</v>
      </c>
      <c r="L25" s="25">
        <v>8910</v>
      </c>
      <c r="M25" s="82">
        <v>9355</v>
      </c>
      <c r="N25" s="313">
        <f t="shared" ref="N25:N88" si="1">M25*1.049</f>
        <v>9813.3949999999986</v>
      </c>
      <c r="O25">
        <v>138</v>
      </c>
      <c r="P25" t="s">
        <v>25</v>
      </c>
      <c r="Q25" s="92">
        <v>6600</v>
      </c>
      <c r="R25" s="93">
        <v>6522</v>
      </c>
      <c r="S25" s="313">
        <f t="shared" ref="S25:S29" si="2">R25*1.049</f>
        <v>6841.5779999999995</v>
      </c>
    </row>
    <row r="26" spans="1:20" ht="15" thickBot="1">
      <c r="A26">
        <f>A25+1</f>
        <v>2</v>
      </c>
      <c r="B26" s="4" t="s">
        <v>26</v>
      </c>
      <c r="G26" s="84">
        <v>1045</v>
      </c>
      <c r="H26" s="85">
        <v>1670</v>
      </c>
      <c r="I26" s="313">
        <f t="shared" si="0"/>
        <v>1751.83</v>
      </c>
      <c r="J26" s="39">
        <f t="shared" ref="J26:J89" si="3">(J25+1)</f>
        <v>65</v>
      </c>
      <c r="K26" s="39" t="s">
        <v>27</v>
      </c>
      <c r="L26" s="25">
        <v>4850</v>
      </c>
      <c r="M26" s="83" t="s">
        <v>209</v>
      </c>
      <c r="N26" s="313"/>
      <c r="O26">
        <v>139</v>
      </c>
      <c r="P26" t="s">
        <v>28</v>
      </c>
      <c r="Q26" s="92">
        <v>15600</v>
      </c>
      <c r="R26" s="93">
        <v>7990</v>
      </c>
      <c r="S26" s="313">
        <f t="shared" si="2"/>
        <v>8381.51</v>
      </c>
    </row>
    <row r="27" spans="1:20" ht="15" thickBot="1">
      <c r="A27">
        <f t="shared" ref="A27:A87" si="4">A26+1</f>
        <v>3</v>
      </c>
      <c r="B27" s="4" t="s">
        <v>29</v>
      </c>
      <c r="G27" s="84">
        <v>690</v>
      </c>
      <c r="H27" s="85">
        <v>995</v>
      </c>
      <c r="I27" s="313">
        <f t="shared" si="0"/>
        <v>1043.7549999999999</v>
      </c>
      <c r="J27" s="39">
        <f t="shared" si="3"/>
        <v>66</v>
      </c>
      <c r="K27" s="59" t="s">
        <v>30</v>
      </c>
      <c r="L27" s="25">
        <v>1010</v>
      </c>
      <c r="M27" s="82">
        <v>1140</v>
      </c>
      <c r="N27" s="313">
        <f t="shared" si="1"/>
        <v>1195.8599999999999</v>
      </c>
      <c r="O27">
        <v>140</v>
      </c>
      <c r="P27" s="4" t="s">
        <v>207</v>
      </c>
      <c r="Q27" s="92" t="s">
        <v>208</v>
      </c>
      <c r="R27" s="93" t="s">
        <v>208</v>
      </c>
      <c r="S27" s="313"/>
    </row>
    <row r="28" spans="1:20" ht="15" thickBot="1">
      <c r="A28">
        <f t="shared" si="4"/>
        <v>4</v>
      </c>
      <c r="B28" s="4" t="s">
        <v>34</v>
      </c>
      <c r="G28" s="84">
        <v>735</v>
      </c>
      <c r="H28" s="85">
        <v>800</v>
      </c>
      <c r="I28" s="313">
        <f t="shared" si="0"/>
        <v>839.19999999999993</v>
      </c>
      <c r="J28" s="39">
        <f t="shared" si="3"/>
        <v>67</v>
      </c>
      <c r="K28" s="59" t="s">
        <v>35</v>
      </c>
      <c r="L28" s="25">
        <v>2900</v>
      </c>
      <c r="M28" s="82">
        <v>3393</v>
      </c>
      <c r="N28" s="313">
        <f t="shared" si="1"/>
        <v>3559.2569999999996</v>
      </c>
      <c r="O28">
        <v>140</v>
      </c>
      <c r="P28" s="4" t="s">
        <v>31</v>
      </c>
      <c r="Q28" s="92">
        <v>1130</v>
      </c>
      <c r="R28" s="94">
        <v>1325</v>
      </c>
      <c r="S28" s="313">
        <f t="shared" si="2"/>
        <v>1389.925</v>
      </c>
      <c r="T28" t="s">
        <v>33</v>
      </c>
    </row>
    <row r="29" spans="1:20" ht="15" thickBot="1">
      <c r="A29">
        <f t="shared" si="4"/>
        <v>5</v>
      </c>
      <c r="B29" s="4" t="s">
        <v>37</v>
      </c>
      <c r="G29" s="84">
        <v>1170</v>
      </c>
      <c r="H29" s="85">
        <v>1290</v>
      </c>
      <c r="I29" s="313">
        <f t="shared" si="0"/>
        <v>1353.2099999999998</v>
      </c>
      <c r="J29" s="39">
        <f t="shared" si="3"/>
        <v>68</v>
      </c>
      <c r="K29" s="39" t="s">
        <v>38</v>
      </c>
      <c r="L29" s="25">
        <v>9500</v>
      </c>
      <c r="M29" s="82">
        <v>12240</v>
      </c>
      <c r="N29" s="313">
        <f t="shared" si="1"/>
        <v>12839.759999999998</v>
      </c>
      <c r="O29">
        <v>141</v>
      </c>
      <c r="P29" s="19" t="s">
        <v>36</v>
      </c>
      <c r="Q29" s="92">
        <v>365</v>
      </c>
      <c r="R29" s="93">
        <v>425</v>
      </c>
      <c r="S29" s="313">
        <f t="shared" si="2"/>
        <v>445.82499999999999</v>
      </c>
      <c r="T29" t="s">
        <v>33</v>
      </c>
    </row>
    <row r="30" spans="1:20" ht="15" thickBot="1">
      <c r="A30">
        <f t="shared" si="4"/>
        <v>6</v>
      </c>
      <c r="B30" s="4" t="s">
        <v>39</v>
      </c>
      <c r="G30" s="84">
        <v>1830</v>
      </c>
      <c r="H30" s="85">
        <v>1930</v>
      </c>
      <c r="I30" s="313">
        <f t="shared" si="0"/>
        <v>2024.57</v>
      </c>
      <c r="J30" s="39">
        <f t="shared" si="3"/>
        <v>69</v>
      </c>
      <c r="K30" s="59" t="s">
        <v>40</v>
      </c>
      <c r="L30" s="25" t="s">
        <v>209</v>
      </c>
      <c r="M30" s="83">
        <v>11400</v>
      </c>
      <c r="N30" s="313">
        <f t="shared" si="1"/>
        <v>11958.599999999999</v>
      </c>
    </row>
    <row r="31" spans="1:20" ht="15" thickBot="1">
      <c r="A31">
        <f t="shared" si="4"/>
        <v>7</v>
      </c>
      <c r="B31" s="4" t="s">
        <v>41</v>
      </c>
      <c r="G31" s="84">
        <v>1330</v>
      </c>
      <c r="H31" s="85">
        <v>1660</v>
      </c>
      <c r="I31" s="313">
        <f t="shared" si="0"/>
        <v>1741.34</v>
      </c>
      <c r="J31" s="39">
        <f t="shared" si="3"/>
        <v>70</v>
      </c>
      <c r="K31" s="59" t="s">
        <v>42</v>
      </c>
      <c r="L31" s="25">
        <v>1065</v>
      </c>
      <c r="M31" s="82">
        <v>1210</v>
      </c>
      <c r="N31" s="313">
        <f t="shared" si="1"/>
        <v>1269.29</v>
      </c>
    </row>
    <row r="32" spans="1:20" ht="15" thickBot="1">
      <c r="A32">
        <f t="shared" si="4"/>
        <v>8</v>
      </c>
      <c r="B32" s="4" t="s">
        <v>43</v>
      </c>
      <c r="G32" s="84">
        <v>1545</v>
      </c>
      <c r="H32" s="85">
        <v>1990</v>
      </c>
      <c r="I32" s="313">
        <f t="shared" si="0"/>
        <v>2087.5099999999998</v>
      </c>
      <c r="J32" s="39">
        <f t="shared" si="3"/>
        <v>71</v>
      </c>
      <c r="K32" s="59" t="s">
        <v>44</v>
      </c>
      <c r="L32" s="25">
        <v>1110</v>
      </c>
      <c r="M32" s="88">
        <v>655</v>
      </c>
      <c r="N32" s="313">
        <f t="shared" si="1"/>
        <v>687.09499999999991</v>
      </c>
    </row>
    <row r="33" spans="1:14" ht="15" thickBot="1">
      <c r="A33">
        <f t="shared" si="4"/>
        <v>9</v>
      </c>
      <c r="B33" s="4" t="s">
        <v>45</v>
      </c>
      <c r="G33" s="84">
        <v>-120</v>
      </c>
      <c r="H33" s="85">
        <v>-120</v>
      </c>
      <c r="I33" s="313">
        <f t="shared" si="0"/>
        <v>-125.88</v>
      </c>
      <c r="J33" s="39">
        <f t="shared" si="3"/>
        <v>72</v>
      </c>
      <c r="K33" s="59" t="s">
        <v>46</v>
      </c>
      <c r="L33" s="25">
        <v>260</v>
      </c>
      <c r="M33" s="88">
        <v>300</v>
      </c>
      <c r="N33" s="313">
        <f t="shared" si="1"/>
        <v>314.7</v>
      </c>
    </row>
    <row r="34" spans="1:14" ht="15" thickBot="1">
      <c r="A34">
        <f t="shared" si="4"/>
        <v>10</v>
      </c>
      <c r="B34" s="4" t="s">
        <v>47</v>
      </c>
      <c r="G34" s="84">
        <v>505</v>
      </c>
      <c r="H34" s="85">
        <v>1185</v>
      </c>
      <c r="I34" s="313">
        <f t="shared" si="0"/>
        <v>1243.0649999999998</v>
      </c>
      <c r="J34" s="39">
        <f t="shared" si="3"/>
        <v>73</v>
      </c>
      <c r="K34" s="59" t="s">
        <v>48</v>
      </c>
      <c r="L34" s="25">
        <v>870</v>
      </c>
      <c r="M34" s="88">
        <v>1100</v>
      </c>
      <c r="N34" s="313">
        <f t="shared" si="1"/>
        <v>1153.8999999999999</v>
      </c>
    </row>
    <row r="35" spans="1:14" ht="15" thickBot="1">
      <c r="A35">
        <f t="shared" si="4"/>
        <v>11</v>
      </c>
      <c r="B35" t="s">
        <v>211</v>
      </c>
      <c r="G35" s="84">
        <v>505</v>
      </c>
      <c r="H35" s="85">
        <v>1185</v>
      </c>
      <c r="I35" s="313">
        <f t="shared" si="0"/>
        <v>1243.0649999999998</v>
      </c>
      <c r="J35" s="39">
        <f t="shared" si="3"/>
        <v>74</v>
      </c>
      <c r="K35" s="59" t="s">
        <v>50</v>
      </c>
      <c r="L35" s="25">
        <v>160</v>
      </c>
      <c r="M35" s="88">
        <v>150</v>
      </c>
      <c r="N35" s="313">
        <f t="shared" si="1"/>
        <v>157.35</v>
      </c>
    </row>
    <row r="36" spans="1:14" ht="15" thickBot="1">
      <c r="A36">
        <f t="shared" si="4"/>
        <v>12</v>
      </c>
      <c r="B36" s="4" t="s">
        <v>51</v>
      </c>
      <c r="E36" s="1"/>
      <c r="G36" s="84">
        <v>505</v>
      </c>
      <c r="H36" s="85">
        <v>1185</v>
      </c>
      <c r="I36" s="313">
        <f t="shared" si="0"/>
        <v>1243.0649999999998</v>
      </c>
      <c r="J36" s="39">
        <f t="shared" si="3"/>
        <v>75</v>
      </c>
      <c r="K36" s="59" t="s">
        <v>52</v>
      </c>
      <c r="L36" s="25">
        <v>660</v>
      </c>
      <c r="M36" s="82">
        <v>740</v>
      </c>
      <c r="N36" s="313">
        <f t="shared" si="1"/>
        <v>776.26</v>
      </c>
    </row>
    <row r="37" spans="1:14" ht="15" thickBot="1">
      <c r="A37">
        <f t="shared" si="4"/>
        <v>13</v>
      </c>
      <c r="B37" s="4" t="s">
        <v>53</v>
      </c>
      <c r="E37" s="1"/>
      <c r="G37" s="84" t="s">
        <v>208</v>
      </c>
      <c r="H37" s="86" t="s">
        <v>208</v>
      </c>
      <c r="I37" s="313"/>
      <c r="J37" s="39">
        <f t="shared" si="3"/>
        <v>76</v>
      </c>
      <c r="K37" s="59" t="s">
        <v>54</v>
      </c>
      <c r="L37" s="25" t="s">
        <v>192</v>
      </c>
      <c r="M37" s="83" t="s">
        <v>208</v>
      </c>
      <c r="N37" s="313"/>
    </row>
    <row r="38" spans="1:14" ht="15" thickBot="1">
      <c r="A38">
        <f t="shared" si="4"/>
        <v>14</v>
      </c>
      <c r="B38" s="4" t="s">
        <v>55</v>
      </c>
      <c r="E38" s="1"/>
      <c r="G38" s="84">
        <v>755</v>
      </c>
      <c r="H38" s="85">
        <v>585</v>
      </c>
      <c r="I38" s="313">
        <f t="shared" si="0"/>
        <v>613.66499999999996</v>
      </c>
      <c r="J38" s="39">
        <f t="shared" si="3"/>
        <v>77</v>
      </c>
      <c r="K38" s="59" t="s">
        <v>56</v>
      </c>
      <c r="L38" s="25" t="s">
        <v>208</v>
      </c>
      <c r="M38" s="89" t="s">
        <v>209</v>
      </c>
      <c r="N38" s="313"/>
    </row>
    <row r="39" spans="1:14" ht="15" thickBot="1">
      <c r="A39">
        <f t="shared" si="4"/>
        <v>15</v>
      </c>
      <c r="B39" s="4" t="s">
        <v>58</v>
      </c>
      <c r="G39" s="84">
        <v>-500</v>
      </c>
      <c r="H39" s="86" t="s">
        <v>32</v>
      </c>
      <c r="I39" s="313"/>
      <c r="J39" s="39">
        <f t="shared" si="3"/>
        <v>78</v>
      </c>
      <c r="K39" s="59" t="s">
        <v>59</v>
      </c>
      <c r="L39" s="25">
        <v>400</v>
      </c>
      <c r="M39" s="88">
        <v>420</v>
      </c>
      <c r="N39" s="313">
        <f t="shared" si="1"/>
        <v>440.58</v>
      </c>
    </row>
    <row r="40" spans="1:14" ht="15" thickBot="1">
      <c r="A40">
        <f t="shared" si="4"/>
        <v>16</v>
      </c>
      <c r="B40" s="4" t="s">
        <v>60</v>
      </c>
      <c r="G40" s="84">
        <v>60</v>
      </c>
      <c r="H40" s="85">
        <v>75</v>
      </c>
      <c r="I40" s="313">
        <f t="shared" si="0"/>
        <v>78.674999999999997</v>
      </c>
      <c r="J40" s="39">
        <f t="shared" si="3"/>
        <v>79</v>
      </c>
      <c r="K40" s="59" t="s">
        <v>61</v>
      </c>
      <c r="L40" s="25">
        <v>2500</v>
      </c>
      <c r="M40" s="88">
        <v>2625</v>
      </c>
      <c r="N40" s="313">
        <f t="shared" si="1"/>
        <v>2753.625</v>
      </c>
    </row>
    <row r="41" spans="1:14" ht="15" thickBot="1">
      <c r="A41">
        <f t="shared" si="4"/>
        <v>17</v>
      </c>
      <c r="B41" t="s">
        <v>62</v>
      </c>
      <c r="E41" s="1"/>
      <c r="G41" s="84">
        <v>60</v>
      </c>
      <c r="H41" s="85">
        <v>75</v>
      </c>
      <c r="I41" s="313">
        <f t="shared" si="0"/>
        <v>78.674999999999997</v>
      </c>
      <c r="J41" s="39">
        <f t="shared" si="3"/>
        <v>80</v>
      </c>
      <c r="K41" s="59" t="s">
        <v>63</v>
      </c>
      <c r="L41" s="25">
        <v>3100</v>
      </c>
      <c r="M41" s="88">
        <v>3255</v>
      </c>
      <c r="N41" s="313">
        <f t="shared" si="1"/>
        <v>3414.4949999999999</v>
      </c>
    </row>
    <row r="42" spans="1:14" ht="15" thickBot="1">
      <c r="A42">
        <f t="shared" si="4"/>
        <v>18</v>
      </c>
      <c r="B42" t="s">
        <v>64</v>
      </c>
      <c r="E42" s="1"/>
      <c r="G42" s="84">
        <v>90</v>
      </c>
      <c r="H42" s="85">
        <v>135</v>
      </c>
      <c r="I42" s="313">
        <f t="shared" si="0"/>
        <v>141.61499999999998</v>
      </c>
      <c r="J42" s="39">
        <f t="shared" si="3"/>
        <v>81</v>
      </c>
      <c r="K42" s="59" t="s">
        <v>212</v>
      </c>
      <c r="L42" s="25">
        <v>150</v>
      </c>
      <c r="M42" s="89" t="s">
        <v>209</v>
      </c>
      <c r="N42" s="313"/>
    </row>
    <row r="43" spans="1:14" ht="15" thickBot="1">
      <c r="A43">
        <f t="shared" si="4"/>
        <v>19</v>
      </c>
      <c r="B43" t="s">
        <v>66</v>
      </c>
      <c r="E43" s="1"/>
      <c r="G43" s="84">
        <v>70</v>
      </c>
      <c r="H43" s="85">
        <v>95</v>
      </c>
      <c r="I43" s="313">
        <f t="shared" si="0"/>
        <v>99.654999999999987</v>
      </c>
      <c r="J43" s="39">
        <f t="shared" si="3"/>
        <v>82</v>
      </c>
      <c r="K43" s="59" t="s">
        <v>213</v>
      </c>
      <c r="L43" s="25">
        <v>120</v>
      </c>
      <c r="M43" s="82">
        <v>130</v>
      </c>
      <c r="N43" s="313">
        <f t="shared" si="1"/>
        <v>136.37</v>
      </c>
    </row>
    <row r="44" spans="1:14" ht="15" thickBot="1">
      <c r="A44">
        <f t="shared" si="4"/>
        <v>20</v>
      </c>
      <c r="B44" t="s">
        <v>68</v>
      </c>
      <c r="E44" s="1"/>
      <c r="G44" s="84">
        <v>75</v>
      </c>
      <c r="H44" s="85">
        <v>125</v>
      </c>
      <c r="I44" s="313">
        <f t="shared" si="0"/>
        <v>131.125</v>
      </c>
      <c r="J44" s="39">
        <f t="shared" si="3"/>
        <v>83</v>
      </c>
      <c r="K44" s="59" t="s">
        <v>69</v>
      </c>
      <c r="L44" s="25">
        <v>-100</v>
      </c>
      <c r="M44" s="83" t="s">
        <v>209</v>
      </c>
      <c r="N44" s="313"/>
    </row>
    <row r="45" spans="1:14" ht="15" thickBot="1">
      <c r="A45">
        <f t="shared" si="4"/>
        <v>21</v>
      </c>
      <c r="B45" t="s">
        <v>70</v>
      </c>
      <c r="E45" s="1"/>
      <c r="G45" s="84">
        <v>80</v>
      </c>
      <c r="H45" s="85">
        <v>150</v>
      </c>
      <c r="I45" s="313">
        <f t="shared" si="0"/>
        <v>157.35</v>
      </c>
      <c r="J45" s="39">
        <f t="shared" si="3"/>
        <v>84</v>
      </c>
      <c r="K45" s="59" t="s">
        <v>71</v>
      </c>
      <c r="L45" s="25">
        <v>285</v>
      </c>
      <c r="M45" s="82">
        <v>310</v>
      </c>
      <c r="N45" s="313">
        <f t="shared" si="1"/>
        <v>325.19</v>
      </c>
    </row>
    <row r="46" spans="1:14" ht="15" thickBot="1">
      <c r="A46">
        <f t="shared" si="4"/>
        <v>22</v>
      </c>
      <c r="B46" t="s">
        <v>72</v>
      </c>
      <c r="E46" s="1"/>
      <c r="G46" s="84">
        <v>50</v>
      </c>
      <c r="H46" s="85">
        <v>50</v>
      </c>
      <c r="I46" s="313">
        <f t="shared" si="0"/>
        <v>52.449999999999996</v>
      </c>
      <c r="J46" s="39">
        <f t="shared" si="3"/>
        <v>85</v>
      </c>
      <c r="K46" s="59" t="s">
        <v>73</v>
      </c>
      <c r="L46" s="25">
        <v>1060</v>
      </c>
      <c r="M46" s="82">
        <v>1115</v>
      </c>
      <c r="N46" s="313">
        <f t="shared" si="1"/>
        <v>1169.635</v>
      </c>
    </row>
    <row r="47" spans="1:14" ht="15" thickBot="1">
      <c r="A47">
        <f t="shared" si="4"/>
        <v>23</v>
      </c>
      <c r="B47" t="s">
        <v>74</v>
      </c>
      <c r="E47" s="1"/>
      <c r="G47" s="84">
        <v>100</v>
      </c>
      <c r="H47" s="85">
        <v>120</v>
      </c>
      <c r="I47" s="313">
        <f t="shared" si="0"/>
        <v>125.88</v>
      </c>
      <c r="J47" s="39">
        <f t="shared" si="3"/>
        <v>86</v>
      </c>
      <c r="K47" s="59" t="s">
        <v>75</v>
      </c>
      <c r="L47" s="25">
        <v>80</v>
      </c>
      <c r="M47" s="82">
        <v>85</v>
      </c>
      <c r="N47" s="313">
        <f t="shared" si="1"/>
        <v>89.164999999999992</v>
      </c>
    </row>
    <row r="48" spans="1:14" ht="15" thickBot="1">
      <c r="A48">
        <f t="shared" si="4"/>
        <v>24</v>
      </c>
      <c r="B48" t="s">
        <v>76</v>
      </c>
      <c r="E48" s="1"/>
      <c r="G48" s="84">
        <v>1600</v>
      </c>
      <c r="H48" s="86" t="s">
        <v>209</v>
      </c>
      <c r="I48" s="313"/>
      <c r="J48" s="39">
        <f t="shared" si="3"/>
        <v>87</v>
      </c>
      <c r="K48" s="59" t="s">
        <v>78</v>
      </c>
      <c r="L48" s="25">
        <v>460</v>
      </c>
      <c r="M48" s="82">
        <v>485</v>
      </c>
      <c r="N48" s="313">
        <f t="shared" si="1"/>
        <v>508.76499999999999</v>
      </c>
    </row>
    <row r="49" spans="1:18" ht="15" thickBot="1">
      <c r="A49">
        <f t="shared" si="4"/>
        <v>25</v>
      </c>
      <c r="B49" s="4" t="s">
        <v>79</v>
      </c>
      <c r="E49" s="1"/>
      <c r="G49" s="84">
        <v>505</v>
      </c>
      <c r="H49" s="85">
        <v>530</v>
      </c>
      <c r="I49" s="313">
        <f t="shared" si="0"/>
        <v>555.96999999999991</v>
      </c>
      <c r="J49" s="39">
        <f t="shared" si="3"/>
        <v>88</v>
      </c>
      <c r="K49" s="59" t="s">
        <v>80</v>
      </c>
      <c r="L49" s="25">
        <v>60</v>
      </c>
      <c r="M49" s="82">
        <v>65</v>
      </c>
      <c r="N49" s="313">
        <f t="shared" si="1"/>
        <v>68.185000000000002</v>
      </c>
    </row>
    <row r="50" spans="1:18" ht="15" thickBot="1">
      <c r="A50">
        <f t="shared" si="4"/>
        <v>26</v>
      </c>
      <c r="B50" s="4" t="s">
        <v>81</v>
      </c>
      <c r="G50" s="84">
        <v>505</v>
      </c>
      <c r="H50" s="85">
        <v>530</v>
      </c>
      <c r="I50" s="313">
        <f t="shared" si="0"/>
        <v>555.96999999999991</v>
      </c>
      <c r="J50" s="39">
        <f t="shared" si="3"/>
        <v>89</v>
      </c>
      <c r="K50" s="59" t="s">
        <v>82</v>
      </c>
      <c r="L50" s="25">
        <v>150</v>
      </c>
      <c r="M50" s="82">
        <v>160</v>
      </c>
      <c r="N50" s="313">
        <f t="shared" si="1"/>
        <v>167.83999999999997</v>
      </c>
    </row>
    <row r="51" spans="1:18" ht="15" thickBot="1">
      <c r="A51">
        <f t="shared" si="4"/>
        <v>27</v>
      </c>
      <c r="B51" s="4" t="s">
        <v>83</v>
      </c>
      <c r="G51" s="84">
        <v>150</v>
      </c>
      <c r="H51" s="85">
        <v>250</v>
      </c>
      <c r="I51" s="313">
        <f t="shared" si="0"/>
        <v>262.25</v>
      </c>
      <c r="J51" s="39">
        <f t="shared" si="3"/>
        <v>90</v>
      </c>
      <c r="K51" s="59" t="s">
        <v>84</v>
      </c>
      <c r="L51" s="25">
        <v>75</v>
      </c>
      <c r="M51" s="82">
        <v>100</v>
      </c>
      <c r="N51" s="313">
        <f t="shared" si="1"/>
        <v>104.89999999999999</v>
      </c>
    </row>
    <row r="52" spans="1:18" ht="15" thickBot="1">
      <c r="A52">
        <f t="shared" si="4"/>
        <v>28</v>
      </c>
      <c r="B52" s="4" t="s">
        <v>85</v>
      </c>
      <c r="G52" s="84">
        <v>505</v>
      </c>
      <c r="H52" s="85">
        <v>705</v>
      </c>
      <c r="I52" s="313">
        <f t="shared" si="0"/>
        <v>739.54499999999996</v>
      </c>
      <c r="J52" s="39">
        <f t="shared" si="3"/>
        <v>91</v>
      </c>
      <c r="K52" s="59" t="s">
        <v>86</v>
      </c>
      <c r="L52" s="25">
        <v>800</v>
      </c>
      <c r="M52" s="82">
        <v>1055</v>
      </c>
      <c r="N52" s="313">
        <f t="shared" si="1"/>
        <v>1106.6949999999999</v>
      </c>
    </row>
    <row r="53" spans="1:18" ht="15" thickBot="1">
      <c r="A53">
        <f t="shared" si="4"/>
        <v>29</v>
      </c>
      <c r="B53" s="4" t="s">
        <v>87</v>
      </c>
      <c r="G53" s="84">
        <v>530</v>
      </c>
      <c r="H53" s="85">
        <v>745</v>
      </c>
      <c r="I53" s="313">
        <f t="shared" si="0"/>
        <v>781.505</v>
      </c>
      <c r="J53" s="39">
        <f t="shared" si="3"/>
        <v>92</v>
      </c>
      <c r="K53" s="59" t="s">
        <v>88</v>
      </c>
      <c r="L53" s="25">
        <v>525</v>
      </c>
      <c r="M53" s="82">
        <v>800</v>
      </c>
      <c r="N53" s="313">
        <f t="shared" si="1"/>
        <v>839.19999999999993</v>
      </c>
    </row>
    <row r="54" spans="1:18" ht="15" thickBot="1">
      <c r="A54">
        <f t="shared" si="4"/>
        <v>30</v>
      </c>
      <c r="B54" s="4" t="s">
        <v>89</v>
      </c>
      <c r="G54" s="84">
        <v>775</v>
      </c>
      <c r="H54" s="85">
        <v>1080</v>
      </c>
      <c r="I54" s="313">
        <f t="shared" si="0"/>
        <v>1132.9199999999998</v>
      </c>
      <c r="J54" s="39">
        <f t="shared" si="3"/>
        <v>93</v>
      </c>
      <c r="K54" s="39" t="s">
        <v>90</v>
      </c>
      <c r="L54" s="25">
        <v>350</v>
      </c>
      <c r="M54" s="82">
        <v>400</v>
      </c>
      <c r="N54" s="313">
        <f t="shared" si="1"/>
        <v>419.59999999999997</v>
      </c>
    </row>
    <row r="55" spans="1:18" ht="15" thickBot="1">
      <c r="A55">
        <f t="shared" si="4"/>
        <v>31</v>
      </c>
      <c r="B55" t="s">
        <v>91</v>
      </c>
      <c r="G55" s="84">
        <v>-100</v>
      </c>
      <c r="H55" s="85">
        <v>-100</v>
      </c>
      <c r="I55" s="313">
        <f t="shared" si="0"/>
        <v>-104.89999999999999</v>
      </c>
      <c r="J55" s="39">
        <f t="shared" si="3"/>
        <v>94</v>
      </c>
      <c r="K55" s="59" t="s">
        <v>92</v>
      </c>
      <c r="L55" s="25">
        <v>450</v>
      </c>
      <c r="M55" s="82">
        <v>495</v>
      </c>
      <c r="N55" s="313">
        <f t="shared" si="1"/>
        <v>519.255</v>
      </c>
    </row>
    <row r="56" spans="1:18" ht="15" thickBot="1">
      <c r="A56">
        <f t="shared" si="4"/>
        <v>32</v>
      </c>
      <c r="B56" t="s">
        <v>93</v>
      </c>
      <c r="G56" s="84">
        <v>-100</v>
      </c>
      <c r="H56" s="85">
        <v>-100</v>
      </c>
      <c r="I56" s="313">
        <f t="shared" si="0"/>
        <v>-104.89999999999999</v>
      </c>
      <c r="J56" s="39">
        <f t="shared" si="3"/>
        <v>95</v>
      </c>
      <c r="K56" s="39" t="s">
        <v>94</v>
      </c>
      <c r="L56" s="25">
        <v>165</v>
      </c>
      <c r="M56" s="82">
        <v>182</v>
      </c>
      <c r="N56" s="313">
        <f t="shared" si="1"/>
        <v>190.91799999999998</v>
      </c>
    </row>
    <row r="57" spans="1:18" ht="15" thickBot="1">
      <c r="A57">
        <f t="shared" si="4"/>
        <v>33</v>
      </c>
      <c r="B57" t="s">
        <v>95</v>
      </c>
      <c r="G57" s="84">
        <v>1600</v>
      </c>
      <c r="H57" s="85">
        <v>1920</v>
      </c>
      <c r="I57" s="313">
        <f t="shared" si="0"/>
        <v>2014.08</v>
      </c>
      <c r="J57" s="39">
        <f t="shared" si="3"/>
        <v>96</v>
      </c>
      <c r="K57" s="39" t="s">
        <v>96</v>
      </c>
      <c r="L57" s="25">
        <v>4380</v>
      </c>
      <c r="M57" s="82">
        <v>4600</v>
      </c>
      <c r="N57" s="313">
        <f t="shared" si="1"/>
        <v>4825.3999999999996</v>
      </c>
    </row>
    <row r="58" spans="1:18" ht="15" thickBot="1">
      <c r="A58">
        <f t="shared" si="4"/>
        <v>34</v>
      </c>
      <c r="B58" t="s">
        <v>97</v>
      </c>
      <c r="G58" s="84">
        <v>2880</v>
      </c>
      <c r="H58" s="85">
        <v>3600</v>
      </c>
      <c r="I58" s="313">
        <f t="shared" si="0"/>
        <v>3776.3999999999996</v>
      </c>
      <c r="J58" s="39">
        <f t="shared" si="3"/>
        <v>97</v>
      </c>
      <c r="K58" s="39" t="s">
        <v>201</v>
      </c>
      <c r="L58" s="25"/>
      <c r="M58" s="82"/>
      <c r="N58" s="313">
        <f t="shared" si="1"/>
        <v>0</v>
      </c>
    </row>
    <row r="59" spans="1:18" ht="15" thickBot="1">
      <c r="A59">
        <f t="shared" si="4"/>
        <v>35</v>
      </c>
      <c r="B59" t="s">
        <v>219</v>
      </c>
      <c r="G59" s="84" t="s">
        <v>209</v>
      </c>
      <c r="H59" s="86" t="s">
        <v>209</v>
      </c>
      <c r="I59" s="313"/>
      <c r="J59" s="39">
        <f t="shared" si="3"/>
        <v>98</v>
      </c>
      <c r="K59" s="59" t="s">
        <v>100</v>
      </c>
      <c r="L59" s="25">
        <v>3005</v>
      </c>
      <c r="M59" s="82">
        <v>3155</v>
      </c>
      <c r="N59" s="313">
        <f t="shared" si="1"/>
        <v>3309.5949999999998</v>
      </c>
    </row>
    <row r="60" spans="1:18" ht="15" thickBot="1">
      <c r="A60">
        <f t="shared" si="4"/>
        <v>36</v>
      </c>
      <c r="B60" t="s">
        <v>101</v>
      </c>
      <c r="G60" s="84" t="s">
        <v>209</v>
      </c>
      <c r="H60" s="86" t="s">
        <v>209</v>
      </c>
      <c r="I60" s="313"/>
      <c r="J60" s="39">
        <f t="shared" si="3"/>
        <v>99</v>
      </c>
      <c r="K60" s="59" t="s">
        <v>102</v>
      </c>
      <c r="L60" s="25">
        <v>6600</v>
      </c>
      <c r="M60" s="82">
        <v>7155</v>
      </c>
      <c r="N60" s="313">
        <f t="shared" si="1"/>
        <v>7505.5949999999993</v>
      </c>
      <c r="R60" s="4"/>
    </row>
    <row r="61" spans="1:18" ht="15" thickBot="1">
      <c r="A61">
        <f t="shared" si="4"/>
        <v>37</v>
      </c>
      <c r="B61" t="s">
        <v>103</v>
      </c>
      <c r="G61" s="84">
        <v>30</v>
      </c>
      <c r="H61" s="85">
        <v>30</v>
      </c>
      <c r="I61" s="313">
        <f t="shared" si="0"/>
        <v>31.47</v>
      </c>
      <c r="J61" s="39">
        <f t="shared" si="3"/>
        <v>100</v>
      </c>
      <c r="K61" s="59" t="s">
        <v>104</v>
      </c>
      <c r="L61" s="25">
        <v>8000</v>
      </c>
      <c r="M61" s="82">
        <v>8800</v>
      </c>
      <c r="N61" s="313">
        <f t="shared" si="1"/>
        <v>9231.1999999999989</v>
      </c>
      <c r="R61" s="4"/>
    </row>
    <row r="62" spans="1:18" ht="15" thickBot="1">
      <c r="A62">
        <f t="shared" si="4"/>
        <v>38</v>
      </c>
      <c r="B62" t="s">
        <v>105</v>
      </c>
      <c r="G62" s="84">
        <v>30</v>
      </c>
      <c r="H62" s="85">
        <v>30</v>
      </c>
      <c r="I62" s="313">
        <f t="shared" si="0"/>
        <v>31.47</v>
      </c>
      <c r="J62" s="39">
        <f t="shared" si="3"/>
        <v>101</v>
      </c>
      <c r="K62" s="39" t="s">
        <v>106</v>
      </c>
      <c r="L62" s="25">
        <v>6640</v>
      </c>
      <c r="M62" s="82">
        <v>6640</v>
      </c>
      <c r="N62" s="313">
        <f t="shared" si="1"/>
        <v>6965.36</v>
      </c>
      <c r="O62" s="10"/>
      <c r="R62" s="4"/>
    </row>
    <row r="63" spans="1:18" ht="15" thickBot="1">
      <c r="A63">
        <f t="shared" si="4"/>
        <v>39</v>
      </c>
      <c r="B63" t="s">
        <v>107</v>
      </c>
      <c r="G63" s="84">
        <v>-10</v>
      </c>
      <c r="H63" s="85">
        <v>-10</v>
      </c>
      <c r="I63" s="313">
        <f t="shared" si="0"/>
        <v>-10.489999999999998</v>
      </c>
      <c r="J63" s="39">
        <f t="shared" si="3"/>
        <v>102</v>
      </c>
      <c r="K63" s="59" t="s">
        <v>108</v>
      </c>
      <c r="L63" s="25" t="s">
        <v>57</v>
      </c>
      <c r="M63" s="83" t="s">
        <v>208</v>
      </c>
      <c r="N63" s="313"/>
      <c r="O63" s="11"/>
      <c r="R63" s="4"/>
    </row>
    <row r="64" spans="1:18" ht="15" thickBot="1">
      <c r="A64">
        <f t="shared" si="4"/>
        <v>40</v>
      </c>
      <c r="B64" t="s">
        <v>109</v>
      </c>
      <c r="G64" s="84">
        <v>800</v>
      </c>
      <c r="H64" s="85">
        <v>800</v>
      </c>
      <c r="I64" s="313">
        <f t="shared" si="0"/>
        <v>839.19999999999993</v>
      </c>
      <c r="J64" s="39">
        <f t="shared" si="3"/>
        <v>103</v>
      </c>
      <c r="K64" s="59" t="s">
        <v>110</v>
      </c>
      <c r="L64" s="25">
        <v>875</v>
      </c>
      <c r="M64" s="82">
        <v>875</v>
      </c>
      <c r="N64" s="313">
        <f t="shared" si="1"/>
        <v>917.87499999999989</v>
      </c>
      <c r="O64" s="10"/>
      <c r="R64" s="4"/>
    </row>
    <row r="65" spans="1:18" ht="15" thickBot="1">
      <c r="A65">
        <f t="shared" si="4"/>
        <v>41</v>
      </c>
      <c r="B65" t="s">
        <v>111</v>
      </c>
      <c r="G65" s="84">
        <v>1100</v>
      </c>
      <c r="H65" s="86" t="s">
        <v>209</v>
      </c>
      <c r="I65" s="313"/>
      <c r="J65" s="39">
        <f t="shared" si="3"/>
        <v>104</v>
      </c>
      <c r="K65" s="59" t="s">
        <v>112</v>
      </c>
      <c r="L65" s="25" t="s">
        <v>209</v>
      </c>
      <c r="M65" s="83" t="s">
        <v>209</v>
      </c>
      <c r="N65" s="313"/>
      <c r="R65" s="4"/>
    </row>
    <row r="66" spans="1:18" ht="15" thickBot="1">
      <c r="A66">
        <f t="shared" si="4"/>
        <v>42</v>
      </c>
      <c r="B66" s="4" t="s">
        <v>113</v>
      </c>
      <c r="G66" s="84">
        <v>350</v>
      </c>
      <c r="H66" s="87">
        <v>300</v>
      </c>
      <c r="I66" s="313">
        <f t="shared" si="0"/>
        <v>314.7</v>
      </c>
      <c r="J66" s="39">
        <f t="shared" si="3"/>
        <v>105</v>
      </c>
      <c r="K66" s="39" t="s">
        <v>114</v>
      </c>
      <c r="L66" s="25">
        <v>4520</v>
      </c>
      <c r="M66" s="82">
        <v>5275</v>
      </c>
      <c r="N66" s="313">
        <f t="shared" si="1"/>
        <v>5533.4749999999995</v>
      </c>
      <c r="R66" s="4"/>
    </row>
    <row r="67" spans="1:18" ht="15" thickBot="1">
      <c r="A67">
        <f t="shared" si="4"/>
        <v>43</v>
      </c>
      <c r="B67" s="4" t="s">
        <v>115</v>
      </c>
      <c r="G67" s="84" t="s">
        <v>209</v>
      </c>
      <c r="H67" s="86" t="s">
        <v>209</v>
      </c>
      <c r="I67" s="313"/>
      <c r="J67" s="39">
        <f t="shared" si="3"/>
        <v>106</v>
      </c>
      <c r="K67" s="39" t="s">
        <v>116</v>
      </c>
      <c r="L67" s="25">
        <v>6875</v>
      </c>
      <c r="M67" s="82">
        <v>7370</v>
      </c>
      <c r="N67" s="313">
        <f t="shared" si="1"/>
        <v>7731.1299999999992</v>
      </c>
      <c r="R67" s="4"/>
    </row>
    <row r="68" spans="1:18" ht="15" thickBot="1">
      <c r="A68">
        <f t="shared" si="4"/>
        <v>44</v>
      </c>
      <c r="B68" s="4" t="s">
        <v>220</v>
      </c>
      <c r="G68" s="84">
        <v>0</v>
      </c>
      <c r="H68" s="85">
        <v>0</v>
      </c>
      <c r="I68" s="313">
        <f t="shared" si="0"/>
        <v>0</v>
      </c>
      <c r="J68" s="39">
        <f t="shared" si="3"/>
        <v>107</v>
      </c>
      <c r="K68" s="39" t="s">
        <v>118</v>
      </c>
      <c r="L68" s="25">
        <v>9500</v>
      </c>
      <c r="M68" s="82">
        <v>10055</v>
      </c>
      <c r="N68" s="313">
        <f t="shared" si="1"/>
        <v>10547.695</v>
      </c>
      <c r="R68" s="4"/>
    </row>
    <row r="69" spans="1:18" ht="15" thickBot="1">
      <c r="A69">
        <f t="shared" si="4"/>
        <v>45</v>
      </c>
      <c r="B69" t="s">
        <v>119</v>
      </c>
      <c r="G69" s="84">
        <v>250</v>
      </c>
      <c r="H69" s="85">
        <v>400</v>
      </c>
      <c r="I69" s="313">
        <f t="shared" si="0"/>
        <v>419.59999999999997</v>
      </c>
      <c r="J69" s="39">
        <f t="shared" si="3"/>
        <v>108</v>
      </c>
      <c r="K69" s="39" t="s">
        <v>120</v>
      </c>
      <c r="L69" s="25">
        <v>500</v>
      </c>
      <c r="M69" s="82">
        <v>500</v>
      </c>
      <c r="N69" s="313">
        <f t="shared" si="1"/>
        <v>524.5</v>
      </c>
      <c r="R69" s="4"/>
    </row>
    <row r="70" spans="1:18" ht="15" thickBot="1">
      <c r="A70">
        <f t="shared" si="4"/>
        <v>46</v>
      </c>
      <c r="B70" t="s">
        <v>121</v>
      </c>
      <c r="G70" s="84">
        <v>40</v>
      </c>
      <c r="H70" s="85">
        <v>50</v>
      </c>
      <c r="I70" s="313">
        <f t="shared" si="0"/>
        <v>52.449999999999996</v>
      </c>
      <c r="J70" s="39">
        <f t="shared" si="3"/>
        <v>109</v>
      </c>
      <c r="K70" s="39" t="s">
        <v>122</v>
      </c>
      <c r="L70" s="25">
        <v>3665</v>
      </c>
      <c r="M70" s="82">
        <v>3665</v>
      </c>
      <c r="N70" s="313">
        <f t="shared" si="1"/>
        <v>3844.5849999999996</v>
      </c>
      <c r="R70" s="4"/>
    </row>
    <row r="71" spans="1:18" ht="15" thickBot="1">
      <c r="A71">
        <f t="shared" si="4"/>
        <v>47</v>
      </c>
      <c r="B71" t="s">
        <v>123</v>
      </c>
      <c r="G71" s="84">
        <v>80</v>
      </c>
      <c r="H71" s="85">
        <v>170</v>
      </c>
      <c r="I71" s="313">
        <f t="shared" si="0"/>
        <v>178.32999999999998</v>
      </c>
      <c r="J71" s="39">
        <f t="shared" si="3"/>
        <v>110</v>
      </c>
      <c r="K71" s="39" t="s">
        <v>124</v>
      </c>
      <c r="L71" s="25">
        <v>4200</v>
      </c>
      <c r="M71" s="82">
        <v>5265</v>
      </c>
      <c r="N71" s="313">
        <f t="shared" si="1"/>
        <v>5522.9849999999997</v>
      </c>
      <c r="R71" s="4"/>
    </row>
    <row r="72" spans="1:18" ht="15" thickBot="1">
      <c r="A72">
        <f t="shared" si="4"/>
        <v>48</v>
      </c>
      <c r="B72" t="s">
        <v>125</v>
      </c>
      <c r="G72" s="84">
        <v>395</v>
      </c>
      <c r="H72" s="85">
        <v>460</v>
      </c>
      <c r="I72" s="313">
        <f t="shared" si="0"/>
        <v>482.53999999999996</v>
      </c>
      <c r="J72" s="39">
        <f t="shared" si="3"/>
        <v>111</v>
      </c>
      <c r="K72" s="39" t="s">
        <v>126</v>
      </c>
      <c r="L72" s="25">
        <v>5450</v>
      </c>
      <c r="M72" s="82">
        <v>5725</v>
      </c>
      <c r="N72" s="313">
        <f t="shared" si="1"/>
        <v>6005.5249999999996</v>
      </c>
      <c r="R72" s="4"/>
    </row>
    <row r="73" spans="1:18" ht="15" thickBot="1">
      <c r="A73">
        <f t="shared" si="4"/>
        <v>49</v>
      </c>
      <c r="B73" t="s">
        <v>127</v>
      </c>
      <c r="G73" s="84">
        <v>160</v>
      </c>
      <c r="H73" s="85">
        <v>200</v>
      </c>
      <c r="I73" s="313">
        <f t="shared" si="0"/>
        <v>209.79999999999998</v>
      </c>
      <c r="J73" s="39">
        <f t="shared" si="3"/>
        <v>112</v>
      </c>
      <c r="K73" s="39" t="s">
        <v>128</v>
      </c>
      <c r="L73" s="25">
        <v>6000</v>
      </c>
      <c r="M73" s="82">
        <v>5985</v>
      </c>
      <c r="N73" s="313">
        <f t="shared" si="1"/>
        <v>6278.2649999999994</v>
      </c>
      <c r="R73" s="4"/>
    </row>
    <row r="74" spans="1:18" ht="15" thickBot="1">
      <c r="A74">
        <f t="shared" si="4"/>
        <v>50</v>
      </c>
      <c r="B74" s="4" t="s">
        <v>129</v>
      </c>
      <c r="G74" s="84">
        <v>7500</v>
      </c>
      <c r="H74" s="85">
        <v>7470</v>
      </c>
      <c r="I74" s="313">
        <f t="shared" si="0"/>
        <v>7836.03</v>
      </c>
      <c r="J74" s="39">
        <f t="shared" si="3"/>
        <v>113</v>
      </c>
      <c r="K74" s="59" t="s">
        <v>130</v>
      </c>
      <c r="L74" s="25">
        <v>3525</v>
      </c>
      <c r="M74" s="82">
        <v>3650</v>
      </c>
      <c r="N74" s="313">
        <f t="shared" si="1"/>
        <v>3828.85</v>
      </c>
      <c r="R74" s="4"/>
    </row>
    <row r="75" spans="1:18" ht="15" thickBot="1">
      <c r="A75">
        <f t="shared" si="4"/>
        <v>51</v>
      </c>
      <c r="B75" s="4" t="s">
        <v>131</v>
      </c>
      <c r="G75" s="84">
        <v>1115</v>
      </c>
      <c r="H75" s="85">
        <v>1115</v>
      </c>
      <c r="I75" s="313">
        <f t="shared" si="0"/>
        <v>1169.635</v>
      </c>
      <c r="J75" s="39">
        <f t="shared" si="3"/>
        <v>114</v>
      </c>
      <c r="K75" s="59" t="s">
        <v>132</v>
      </c>
      <c r="L75" s="25">
        <v>4345</v>
      </c>
      <c r="M75" s="82">
        <v>5482</v>
      </c>
      <c r="N75" s="313">
        <f t="shared" si="1"/>
        <v>5750.6179999999995</v>
      </c>
      <c r="R75" s="4"/>
    </row>
    <row r="76" spans="1:18" ht="15" thickBot="1">
      <c r="A76">
        <f t="shared" si="4"/>
        <v>52</v>
      </c>
      <c r="B76" s="4" t="s">
        <v>133</v>
      </c>
      <c r="G76" s="84">
        <v>7395</v>
      </c>
      <c r="H76" s="85">
        <v>7365</v>
      </c>
      <c r="I76" s="313">
        <f t="shared" si="0"/>
        <v>7725.8849999999993</v>
      </c>
      <c r="J76" s="39">
        <f t="shared" si="3"/>
        <v>115</v>
      </c>
      <c r="K76" s="59" t="s">
        <v>134</v>
      </c>
      <c r="L76" s="25">
        <v>1500</v>
      </c>
      <c r="M76" s="82">
        <v>1750</v>
      </c>
      <c r="N76" s="313">
        <f t="shared" si="1"/>
        <v>1835.7499999999998</v>
      </c>
      <c r="R76" s="4"/>
    </row>
    <row r="77" spans="1:18" ht="15" thickBot="1">
      <c r="A77">
        <f t="shared" si="4"/>
        <v>53</v>
      </c>
      <c r="B77" s="4" t="s">
        <v>135</v>
      </c>
      <c r="G77" s="84">
        <v>7460</v>
      </c>
      <c r="H77" s="85">
        <v>7430</v>
      </c>
      <c r="I77" s="313">
        <f t="shared" si="0"/>
        <v>7794.07</v>
      </c>
      <c r="J77" s="39">
        <f t="shared" si="3"/>
        <v>116</v>
      </c>
      <c r="K77" s="59" t="s">
        <v>136</v>
      </c>
      <c r="L77" s="25">
        <v>750</v>
      </c>
      <c r="M77" s="82">
        <v>1000</v>
      </c>
      <c r="N77" s="313">
        <f t="shared" si="1"/>
        <v>1049</v>
      </c>
      <c r="R77" s="4"/>
    </row>
    <row r="78" spans="1:18" ht="15" thickBot="1">
      <c r="A78">
        <f t="shared" si="4"/>
        <v>54</v>
      </c>
      <c r="B78" s="4" t="s">
        <v>137</v>
      </c>
      <c r="G78" s="84">
        <v>675</v>
      </c>
      <c r="H78" s="86" t="s">
        <v>699</v>
      </c>
      <c r="I78" s="313"/>
      <c r="J78" s="39">
        <f t="shared" si="3"/>
        <v>117</v>
      </c>
      <c r="K78" s="39" t="s">
        <v>138</v>
      </c>
      <c r="L78" s="25">
        <v>5530</v>
      </c>
      <c r="M78" s="82">
        <v>6040</v>
      </c>
      <c r="N78" s="313">
        <f t="shared" si="1"/>
        <v>6335.96</v>
      </c>
      <c r="R78" s="4"/>
    </row>
    <row r="79" spans="1:18" ht="15" thickBot="1">
      <c r="A79">
        <f t="shared" si="4"/>
        <v>55</v>
      </c>
      <c r="B79" s="4" t="s">
        <v>139</v>
      </c>
      <c r="G79" s="84">
        <v>2825</v>
      </c>
      <c r="H79" s="85">
        <v>2795</v>
      </c>
      <c r="I79" s="313">
        <f t="shared" si="0"/>
        <v>2931.9549999999999</v>
      </c>
      <c r="J79" s="39">
        <f t="shared" si="3"/>
        <v>118</v>
      </c>
      <c r="K79" s="39" t="s">
        <v>140</v>
      </c>
      <c r="L79" s="25">
        <v>1940</v>
      </c>
      <c r="M79" s="82">
        <v>2200</v>
      </c>
      <c r="N79" s="313">
        <f t="shared" si="1"/>
        <v>2307.7999999999997</v>
      </c>
      <c r="R79" s="4"/>
    </row>
    <row r="80" spans="1:18" ht="15" thickBot="1">
      <c r="A80">
        <f t="shared" si="4"/>
        <v>56</v>
      </c>
      <c r="B80" s="4" t="s">
        <v>141</v>
      </c>
      <c r="G80" s="84">
        <v>4240</v>
      </c>
      <c r="H80" s="85">
        <v>4210</v>
      </c>
      <c r="I80" s="313">
        <f t="shared" si="0"/>
        <v>4416.29</v>
      </c>
      <c r="J80" s="39">
        <f t="shared" si="3"/>
        <v>119</v>
      </c>
      <c r="K80" s="39" t="s">
        <v>142</v>
      </c>
      <c r="L80" s="25" t="s">
        <v>209</v>
      </c>
      <c r="M80" s="83" t="s">
        <v>209</v>
      </c>
      <c r="N80" s="313"/>
      <c r="R80" s="4"/>
    </row>
    <row r="81" spans="1:19" ht="15" thickBot="1">
      <c r="A81">
        <f t="shared" si="4"/>
        <v>57</v>
      </c>
      <c r="B81" s="4" t="s">
        <v>143</v>
      </c>
      <c r="G81" s="84">
        <v>5015</v>
      </c>
      <c r="H81" s="85">
        <v>4985</v>
      </c>
      <c r="I81" s="313">
        <f t="shared" si="0"/>
        <v>5229.2649999999994</v>
      </c>
      <c r="J81" s="39">
        <f t="shared" si="3"/>
        <v>120</v>
      </c>
      <c r="K81" s="59" t="s">
        <v>144</v>
      </c>
      <c r="L81" s="25">
        <v>4345</v>
      </c>
      <c r="M81" s="82">
        <v>5240</v>
      </c>
      <c r="N81" s="313">
        <f t="shared" si="1"/>
        <v>5496.7599999999993</v>
      </c>
      <c r="R81" s="4"/>
    </row>
    <row r="82" spans="1:19" ht="15" thickBot="1">
      <c r="A82">
        <f t="shared" si="4"/>
        <v>58</v>
      </c>
      <c r="B82" s="4" t="s">
        <v>145</v>
      </c>
      <c r="G82" s="84">
        <v>8745</v>
      </c>
      <c r="H82" s="85">
        <v>8715</v>
      </c>
      <c r="I82" s="313">
        <f t="shared" si="0"/>
        <v>9142.0349999999999</v>
      </c>
      <c r="J82" s="39">
        <f t="shared" si="3"/>
        <v>121</v>
      </c>
      <c r="K82" s="60" t="s">
        <v>146</v>
      </c>
      <c r="L82" s="25">
        <v>6600</v>
      </c>
      <c r="M82" s="82">
        <v>9445</v>
      </c>
      <c r="N82" s="313">
        <f t="shared" si="1"/>
        <v>9907.8049999999985</v>
      </c>
      <c r="R82" s="4"/>
      <c r="S82" s="4"/>
    </row>
    <row r="83" spans="1:19" ht="15" thickBot="1">
      <c r="A83">
        <f t="shared" si="4"/>
        <v>59</v>
      </c>
      <c r="B83" s="4" t="s">
        <v>147</v>
      </c>
      <c r="G83" s="84">
        <v>10230</v>
      </c>
      <c r="H83" s="85">
        <v>10200</v>
      </c>
      <c r="I83" s="313">
        <f t="shared" si="0"/>
        <v>10699.8</v>
      </c>
      <c r="J83" s="39">
        <f t="shared" si="3"/>
        <v>122</v>
      </c>
      <c r="K83" s="59" t="s">
        <v>148</v>
      </c>
      <c r="L83" s="25">
        <v>1620</v>
      </c>
      <c r="M83" s="83">
        <v>1750</v>
      </c>
      <c r="N83" s="313">
        <f t="shared" si="1"/>
        <v>1835.7499999999998</v>
      </c>
      <c r="R83" s="4"/>
      <c r="S83" s="4"/>
    </row>
    <row r="84" spans="1:19" ht="15" thickBot="1">
      <c r="A84">
        <f t="shared" si="4"/>
        <v>60</v>
      </c>
      <c r="B84" s="4" t="s">
        <v>149</v>
      </c>
      <c r="G84" s="84">
        <v>1280</v>
      </c>
      <c r="H84" s="86" t="s">
        <v>32</v>
      </c>
      <c r="I84" s="313"/>
      <c r="J84" s="39">
        <f t="shared" si="3"/>
        <v>123</v>
      </c>
      <c r="K84" s="39" t="s">
        <v>150</v>
      </c>
      <c r="L84" s="25">
        <v>605</v>
      </c>
      <c r="M84" s="88">
        <v>800</v>
      </c>
      <c r="N84" s="313">
        <f t="shared" si="1"/>
        <v>839.19999999999993</v>
      </c>
      <c r="R84" s="4"/>
      <c r="S84" s="4"/>
    </row>
    <row r="85" spans="1:19" ht="15" thickBot="1">
      <c r="A85">
        <f t="shared" si="4"/>
        <v>61</v>
      </c>
      <c r="B85" s="4" t="s">
        <v>151</v>
      </c>
      <c r="G85" s="84">
        <v>1980</v>
      </c>
      <c r="H85" s="86" t="s">
        <v>32</v>
      </c>
      <c r="I85" s="313"/>
      <c r="J85" s="39">
        <f t="shared" si="3"/>
        <v>124</v>
      </c>
      <c r="K85" s="39" t="s">
        <v>152</v>
      </c>
      <c r="L85" s="25">
        <v>605</v>
      </c>
      <c r="M85" s="88">
        <v>800</v>
      </c>
      <c r="N85" s="313">
        <f t="shared" si="1"/>
        <v>839.19999999999993</v>
      </c>
      <c r="R85" s="4"/>
      <c r="S85" s="4"/>
    </row>
    <row r="86" spans="1:19" ht="15" thickBot="1">
      <c r="A86">
        <f t="shared" si="4"/>
        <v>62</v>
      </c>
      <c r="B86" s="4" t="s">
        <v>153</v>
      </c>
      <c r="G86" s="84">
        <v>2445</v>
      </c>
      <c r="H86" s="86" t="s">
        <v>32</v>
      </c>
      <c r="I86" s="313"/>
      <c r="J86" s="39">
        <f t="shared" si="3"/>
        <v>125</v>
      </c>
      <c r="K86" s="39" t="s">
        <v>154</v>
      </c>
      <c r="L86" s="25">
        <v>880</v>
      </c>
      <c r="M86" s="88">
        <v>1150</v>
      </c>
      <c r="N86" s="313">
        <f t="shared" si="1"/>
        <v>1206.3499999999999</v>
      </c>
      <c r="R86" s="4"/>
      <c r="S86" s="4"/>
    </row>
    <row r="87" spans="1:19" ht="15" thickBot="1">
      <c r="A87">
        <f t="shared" si="4"/>
        <v>63</v>
      </c>
      <c r="B87" s="4" t="s">
        <v>155</v>
      </c>
      <c r="G87" s="84">
        <v>4330</v>
      </c>
      <c r="H87" s="86" t="s">
        <v>32</v>
      </c>
      <c r="I87" s="313"/>
      <c r="J87" s="39">
        <f t="shared" si="3"/>
        <v>126</v>
      </c>
      <c r="K87" s="39" t="s">
        <v>156</v>
      </c>
      <c r="L87" s="25">
        <v>605</v>
      </c>
      <c r="M87" s="88">
        <v>800</v>
      </c>
      <c r="N87" s="313">
        <f t="shared" si="1"/>
        <v>839.19999999999993</v>
      </c>
      <c r="R87" s="4"/>
      <c r="S87" s="4"/>
    </row>
    <row r="88" spans="1:19" ht="15" thickBot="1">
      <c r="G88" s="61"/>
      <c r="H88" s="61"/>
      <c r="J88" s="39">
        <f>(J87+1)</f>
        <v>127</v>
      </c>
      <c r="K88" s="39" t="s">
        <v>157</v>
      </c>
      <c r="L88" s="25">
        <v>880</v>
      </c>
      <c r="M88" s="88">
        <v>1150</v>
      </c>
      <c r="N88" s="313">
        <f t="shared" si="1"/>
        <v>1206.3499999999999</v>
      </c>
    </row>
    <row r="89" spans="1:19" ht="15" thickBot="1">
      <c r="G89" s="61"/>
      <c r="H89" s="61"/>
      <c r="J89" s="39">
        <f t="shared" si="3"/>
        <v>128</v>
      </c>
      <c r="K89" s="39" t="s">
        <v>158</v>
      </c>
      <c r="L89" s="25">
        <v>1560</v>
      </c>
      <c r="M89" s="82">
        <v>2000</v>
      </c>
      <c r="N89" s="313">
        <f t="shared" ref="N89:N98" si="5">M89*1.049</f>
        <v>2098</v>
      </c>
    </row>
    <row r="90" spans="1:19" ht="15" thickBot="1">
      <c r="G90" s="61"/>
      <c r="H90" s="61"/>
      <c r="J90" s="39">
        <f>(J89+1)</f>
        <v>129</v>
      </c>
      <c r="K90" s="39" t="s">
        <v>160</v>
      </c>
      <c r="L90" s="25">
        <v>1710</v>
      </c>
      <c r="M90" s="82">
        <v>2200</v>
      </c>
      <c r="N90" s="313">
        <f t="shared" si="5"/>
        <v>2307.7999999999997</v>
      </c>
    </row>
    <row r="91" spans="1:19" ht="15" thickBot="1">
      <c r="G91" s="61"/>
      <c r="H91" s="61"/>
      <c r="J91" s="39">
        <f>(J90+1)</f>
        <v>130</v>
      </c>
      <c r="K91" s="39" t="s">
        <v>161</v>
      </c>
      <c r="L91" s="25">
        <v>1895</v>
      </c>
      <c r="M91" s="82">
        <v>2400</v>
      </c>
      <c r="N91" s="313">
        <f t="shared" si="5"/>
        <v>2517.6</v>
      </c>
    </row>
    <row r="92" spans="1:19" ht="15" thickBot="1">
      <c r="G92" s="61"/>
      <c r="H92" s="61"/>
      <c r="J92" s="39">
        <f>(J91+1)</f>
        <v>131</v>
      </c>
      <c r="K92" s="39" t="s">
        <v>162</v>
      </c>
      <c r="L92" s="25">
        <v>1940</v>
      </c>
      <c r="M92" s="82">
        <v>2500</v>
      </c>
      <c r="N92" s="313">
        <f t="shared" si="5"/>
        <v>2622.5</v>
      </c>
    </row>
    <row r="93" spans="1:19" ht="15" thickBot="1">
      <c r="G93" s="61"/>
      <c r="H93" s="61"/>
      <c r="J93" s="39">
        <f>(J92+1)</f>
        <v>132</v>
      </c>
      <c r="K93" s="39" t="s">
        <v>163</v>
      </c>
      <c r="L93" s="25">
        <v>3600</v>
      </c>
      <c r="M93" s="83">
        <v>5000</v>
      </c>
      <c r="N93" s="313">
        <f t="shared" si="5"/>
        <v>5245</v>
      </c>
    </row>
    <row r="94" spans="1:19" ht="15" thickBot="1">
      <c r="G94" s="61"/>
      <c r="H94" s="61"/>
      <c r="J94" s="39">
        <f>(J93+1)</f>
        <v>133</v>
      </c>
      <c r="K94" s="39" t="s">
        <v>164</v>
      </c>
      <c r="L94" s="25" t="s">
        <v>209</v>
      </c>
      <c r="M94" s="90">
        <v>2625</v>
      </c>
      <c r="N94" s="313">
        <f t="shared" si="5"/>
        <v>2753.625</v>
      </c>
    </row>
    <row r="95" spans="1:19" ht="15" thickBot="1">
      <c r="G95" s="61"/>
      <c r="H95" s="61"/>
      <c r="J95" s="39">
        <v>134</v>
      </c>
      <c r="K95" s="39" t="s">
        <v>222</v>
      </c>
      <c r="L95" s="25">
        <v>125</v>
      </c>
      <c r="M95" s="83" t="s">
        <v>209</v>
      </c>
      <c r="N95" s="313"/>
    </row>
    <row r="96" spans="1:19" ht="15" thickBot="1">
      <c r="G96" s="61"/>
      <c r="H96" s="61"/>
      <c r="J96" s="39">
        <v>135</v>
      </c>
      <c r="K96" s="39" t="s">
        <v>166</v>
      </c>
      <c r="L96" s="25">
        <v>370</v>
      </c>
      <c r="M96" s="82">
        <v>445</v>
      </c>
      <c r="N96" s="313">
        <f t="shared" si="5"/>
        <v>466.80499999999995</v>
      </c>
    </row>
    <row r="97" spans="2:18" ht="15" thickBot="1">
      <c r="G97" s="61"/>
      <c r="H97" s="61"/>
      <c r="J97" s="39">
        <v>136</v>
      </c>
      <c r="K97" s="39" t="s">
        <v>167</v>
      </c>
      <c r="L97" s="25">
        <v>2790</v>
      </c>
      <c r="M97" s="83" t="s">
        <v>209</v>
      </c>
      <c r="N97" s="313"/>
    </row>
    <row r="98" spans="2:18" ht="15" thickBot="1">
      <c r="G98" s="61"/>
      <c r="H98" s="61"/>
      <c r="I98" s="313"/>
      <c r="J98" s="1" t="s">
        <v>888</v>
      </c>
      <c r="L98" s="25">
        <v>75</v>
      </c>
      <c r="M98" s="82">
        <v>70</v>
      </c>
      <c r="N98" s="313">
        <f t="shared" si="5"/>
        <v>73.429999999999993</v>
      </c>
    </row>
    <row r="99" spans="2:18">
      <c r="G99" s="61"/>
      <c r="H99" s="61"/>
    </row>
    <row r="100" spans="2:18" ht="15" thickBot="1">
      <c r="B100" s="1" t="s">
        <v>1</v>
      </c>
      <c r="G100" s="84" t="s">
        <v>224</v>
      </c>
      <c r="H100" s="61"/>
      <c r="I100" s="1" t="s">
        <v>745</v>
      </c>
      <c r="J100" s="1" t="s">
        <v>233</v>
      </c>
      <c r="M100" s="1"/>
      <c r="N100" s="1"/>
      <c r="O100" s="1"/>
      <c r="P100" s="1"/>
      <c r="Q100" s="1"/>
      <c r="R100" s="1"/>
    </row>
    <row r="101" spans="2:18">
      <c r="G101" s="61"/>
      <c r="H101" s="61"/>
      <c r="I101" s="1" t="s">
        <v>746</v>
      </c>
      <c r="J101" s="1" t="s">
        <v>234</v>
      </c>
      <c r="M101" s="1"/>
      <c r="N101" s="1"/>
      <c r="O101" s="1"/>
      <c r="P101" s="1"/>
      <c r="Q101" s="1"/>
      <c r="R101" s="1"/>
    </row>
    <row r="102" spans="2:18" ht="15" thickBot="1">
      <c r="B102" s="1" t="s">
        <v>2</v>
      </c>
      <c r="G102" s="84" t="s">
        <v>227</v>
      </c>
      <c r="H102" s="61"/>
      <c r="I102" s="1" t="s">
        <v>747</v>
      </c>
    </row>
    <row r="103" spans="2:18">
      <c r="G103" s="61"/>
      <c r="H103" s="61"/>
    </row>
    <row r="104" spans="2:18" ht="15" thickBot="1">
      <c r="B104" s="3" t="s">
        <v>3</v>
      </c>
      <c r="F104" s="1"/>
      <c r="G104" s="84" t="s">
        <v>204</v>
      </c>
      <c r="H104" s="61"/>
    </row>
    <row r="105" spans="2:18" ht="15" thickBot="1">
      <c r="B105" s="4" t="s">
        <v>6</v>
      </c>
      <c r="G105" s="61"/>
      <c r="H105" s="61"/>
      <c r="J105" s="3" t="s">
        <v>4</v>
      </c>
      <c r="K105" s="81">
        <v>94991</v>
      </c>
      <c r="L105" s="48">
        <f>121266+4371</f>
        <v>125637</v>
      </c>
      <c r="M105" s="313">
        <f t="shared" ref="M105:M106" si="6">L105*1.049</f>
        <v>131793.21299999999</v>
      </c>
      <c r="N105" t="s">
        <v>205</v>
      </c>
    </row>
    <row r="106" spans="2:18" ht="15" thickBot="1">
      <c r="B106" s="3" t="s">
        <v>8</v>
      </c>
      <c r="G106" s="84" t="s">
        <v>204</v>
      </c>
      <c r="H106" s="61"/>
      <c r="J106" s="4" t="s">
        <v>7</v>
      </c>
      <c r="K106" s="81">
        <v>97417</v>
      </c>
      <c r="L106" s="48">
        <f>123692+4371</f>
        <v>128063</v>
      </c>
      <c r="M106" s="313">
        <f t="shared" si="6"/>
        <v>134338.087</v>
      </c>
      <c r="N106" t="s">
        <v>206</v>
      </c>
    </row>
    <row r="107" spans="2:18">
      <c r="B107" s="4" t="s">
        <v>10</v>
      </c>
      <c r="G107" s="61"/>
      <c r="H107" s="61"/>
      <c r="J107" s="3"/>
    </row>
    <row r="108" spans="2:18" ht="15" thickBot="1">
      <c r="B108" s="3" t="s">
        <v>11</v>
      </c>
      <c r="G108" s="84">
        <v>76113</v>
      </c>
      <c r="H108" s="64">
        <f>97363+4372</f>
        <v>101735</v>
      </c>
      <c r="I108" s="313">
        <f t="shared" ref="I108:I116" si="7">H108*1.049</f>
        <v>106720.015</v>
      </c>
      <c r="J108" s="4"/>
    </row>
    <row r="109" spans="2:18" ht="15" thickBot="1">
      <c r="B109" s="4" t="s">
        <v>7</v>
      </c>
      <c r="G109" s="61"/>
      <c r="H109" s="61"/>
      <c r="J109" s="3" t="s">
        <v>12</v>
      </c>
      <c r="K109" s="81">
        <v>97874</v>
      </c>
      <c r="L109" s="48">
        <f>125033+4371</f>
        <v>129404</v>
      </c>
      <c r="M109" s="313">
        <f t="shared" ref="M109:M110" si="8">L109*1.049</f>
        <v>135744.796</v>
      </c>
      <c r="N109" t="s">
        <v>205</v>
      </c>
    </row>
    <row r="110" spans="2:18" ht="15" thickBot="1">
      <c r="B110" s="3" t="s">
        <v>14</v>
      </c>
      <c r="G110" s="84">
        <v>77529</v>
      </c>
      <c r="H110" s="64">
        <f>98804+4371</f>
        <v>103175</v>
      </c>
      <c r="I110" s="313">
        <f t="shared" si="7"/>
        <v>108230.575</v>
      </c>
      <c r="J110" s="4" t="s">
        <v>13</v>
      </c>
      <c r="K110" s="81">
        <v>100300</v>
      </c>
      <c r="L110" s="48">
        <f>127459+4371</f>
        <v>131830</v>
      </c>
      <c r="M110" s="313">
        <f t="shared" si="8"/>
        <v>138289.66999999998</v>
      </c>
      <c r="N110" t="s">
        <v>206</v>
      </c>
    </row>
    <row r="111" spans="2:18">
      <c r="B111" s="4" t="s">
        <v>7</v>
      </c>
      <c r="G111" s="61"/>
      <c r="H111" s="61"/>
    </row>
    <row r="112" spans="2:18" ht="15" thickBot="1">
      <c r="B112" s="3" t="s">
        <v>15</v>
      </c>
      <c r="G112" s="84">
        <v>100196</v>
      </c>
      <c r="H112" s="64">
        <f>126472+4371</f>
        <v>130843</v>
      </c>
      <c r="I112" s="313">
        <f t="shared" si="7"/>
        <v>137254.307</v>
      </c>
      <c r="J112" s="41" t="s">
        <v>911</v>
      </c>
      <c r="K112" t="s">
        <v>913</v>
      </c>
      <c r="M112" s="333">
        <v>105719</v>
      </c>
    </row>
    <row r="113" spans="1:19">
      <c r="B113" s="4" t="s">
        <v>7</v>
      </c>
      <c r="G113" s="61"/>
      <c r="H113" s="61"/>
    </row>
    <row r="114" spans="1:19" ht="15" thickBot="1">
      <c r="B114" s="3" t="s">
        <v>16</v>
      </c>
      <c r="G114" s="84">
        <v>80412</v>
      </c>
      <c r="H114" s="64">
        <f>102571+4371</f>
        <v>106942</v>
      </c>
      <c r="I114" s="313">
        <f t="shared" si="7"/>
        <v>112182.158</v>
      </c>
      <c r="J114" s="1" t="s">
        <v>912</v>
      </c>
      <c r="K114" t="s">
        <v>913</v>
      </c>
      <c r="M114" s="333">
        <v>108975</v>
      </c>
    </row>
    <row r="115" spans="1:19">
      <c r="B115" s="4" t="s">
        <v>13</v>
      </c>
      <c r="G115" s="61"/>
      <c r="H115" s="61"/>
    </row>
    <row r="116" spans="1:19" ht="15" thickBot="1">
      <c r="B116" s="3" t="s">
        <v>17</v>
      </c>
      <c r="G116" s="84">
        <v>103079</v>
      </c>
      <c r="H116" s="64">
        <f>130239+4371</f>
        <v>134610</v>
      </c>
      <c r="I116" s="313">
        <f t="shared" si="7"/>
        <v>141205.88999999998</v>
      </c>
      <c r="K116" t="s">
        <v>914</v>
      </c>
    </row>
    <row r="117" spans="1:19">
      <c r="B117" s="4" t="s">
        <v>13</v>
      </c>
      <c r="G117" s="61"/>
      <c r="H117" s="61"/>
    </row>
    <row r="118" spans="1:19">
      <c r="B118" s="4"/>
      <c r="G118" s="61"/>
      <c r="H118" s="61"/>
      <c r="R118" s="18"/>
    </row>
    <row r="119" spans="1:19">
      <c r="B119" s="3" t="s">
        <v>239</v>
      </c>
      <c r="G119" s="61"/>
      <c r="H119" s="61" t="s">
        <v>715</v>
      </c>
      <c r="L119" t="s">
        <v>715</v>
      </c>
    </row>
    <row r="120" spans="1:19" ht="15" thickBot="1">
      <c r="A120">
        <v>1</v>
      </c>
      <c r="B120" s="4" t="s">
        <v>23</v>
      </c>
      <c r="G120" s="84">
        <v>1365</v>
      </c>
      <c r="H120" s="85">
        <v>2070</v>
      </c>
      <c r="I120" s="313">
        <f t="shared" ref="I120:I178" si="9">H120*1.049</f>
        <v>2171.4299999999998</v>
      </c>
      <c r="J120" s="39">
        <f>(A182+1)</f>
        <v>64</v>
      </c>
      <c r="K120" s="59" t="s">
        <v>24</v>
      </c>
      <c r="L120" s="25">
        <v>8910</v>
      </c>
      <c r="M120" s="82">
        <v>9355</v>
      </c>
      <c r="N120" s="313">
        <f t="shared" ref="N120:N183" si="10">M120*1.049</f>
        <v>9813.3949999999986</v>
      </c>
      <c r="O120">
        <v>138</v>
      </c>
      <c r="P120" t="s">
        <v>25</v>
      </c>
      <c r="Q120" s="199">
        <v>6600</v>
      </c>
      <c r="R120" s="93">
        <v>6522</v>
      </c>
      <c r="S120" s="313">
        <f t="shared" ref="S120:S124" si="11">R120*1.049</f>
        <v>6841.5779999999995</v>
      </c>
    </row>
    <row r="121" spans="1:19" ht="15" thickBot="1">
      <c r="A121">
        <f>A120+1</f>
        <v>2</v>
      </c>
      <c r="B121" s="4" t="s">
        <v>26</v>
      </c>
      <c r="G121" s="84">
        <v>1045</v>
      </c>
      <c r="H121" s="85">
        <v>1670</v>
      </c>
      <c r="I121" s="313">
        <f t="shared" si="9"/>
        <v>1751.83</v>
      </c>
      <c r="J121" s="39">
        <f t="shared" ref="J121:J184" si="12">(J120+1)</f>
        <v>65</v>
      </c>
      <c r="K121" s="39" t="s">
        <v>27</v>
      </c>
      <c r="L121" s="25">
        <v>4850</v>
      </c>
      <c r="M121" s="83" t="s">
        <v>209</v>
      </c>
      <c r="N121" s="313"/>
      <c r="O121">
        <v>139</v>
      </c>
      <c r="P121" t="s">
        <v>28</v>
      </c>
      <c r="Q121" s="199">
        <v>15600</v>
      </c>
      <c r="R121" s="93">
        <v>7990</v>
      </c>
      <c r="S121" s="313">
        <f t="shared" si="11"/>
        <v>8381.51</v>
      </c>
    </row>
    <row r="122" spans="1:19" ht="15" thickBot="1">
      <c r="A122">
        <f t="shared" ref="A122:A182" si="13">A121+1</f>
        <v>3</v>
      </c>
      <c r="B122" s="4" t="s">
        <v>29</v>
      </c>
      <c r="G122" s="84">
        <v>690</v>
      </c>
      <c r="H122" s="85">
        <v>995</v>
      </c>
      <c r="I122" s="313">
        <f t="shared" si="9"/>
        <v>1043.7549999999999</v>
      </c>
      <c r="J122" s="39">
        <f t="shared" si="12"/>
        <v>66</v>
      </c>
      <c r="K122" s="59" t="s">
        <v>30</v>
      </c>
      <c r="L122" s="25">
        <v>1010</v>
      </c>
      <c r="M122" s="82">
        <v>1140</v>
      </c>
      <c r="N122" s="313">
        <f t="shared" si="10"/>
        <v>1195.8599999999999</v>
      </c>
      <c r="O122">
        <v>140</v>
      </c>
      <c r="P122" s="4" t="s">
        <v>207</v>
      </c>
      <c r="Q122" s="199" t="s">
        <v>208</v>
      </c>
      <c r="R122" s="93" t="s">
        <v>208</v>
      </c>
      <c r="S122" s="313"/>
    </row>
    <row r="123" spans="1:19" ht="15" thickBot="1">
      <c r="A123">
        <f t="shared" si="13"/>
        <v>4</v>
      </c>
      <c r="B123" s="4" t="s">
        <v>34</v>
      </c>
      <c r="G123" s="84">
        <v>735</v>
      </c>
      <c r="H123" s="85">
        <v>800</v>
      </c>
      <c r="I123" s="313">
        <f t="shared" si="9"/>
        <v>839.19999999999993</v>
      </c>
      <c r="J123" s="39">
        <f t="shared" si="12"/>
        <v>67</v>
      </c>
      <c r="K123" s="59" t="s">
        <v>35</v>
      </c>
      <c r="L123" s="25">
        <v>2900</v>
      </c>
      <c r="M123" s="82">
        <v>3393</v>
      </c>
      <c r="N123" s="313">
        <f t="shared" si="10"/>
        <v>3559.2569999999996</v>
      </c>
      <c r="O123">
        <v>140</v>
      </c>
      <c r="P123" s="4" t="s">
        <v>31</v>
      </c>
      <c r="Q123" s="199">
        <v>1130</v>
      </c>
      <c r="R123" s="94">
        <v>1325</v>
      </c>
      <c r="S123" s="313">
        <f t="shared" si="11"/>
        <v>1389.925</v>
      </c>
    </row>
    <row r="124" spans="1:19" ht="15" thickBot="1">
      <c r="A124">
        <f t="shared" si="13"/>
        <v>5</v>
      </c>
      <c r="B124" s="4" t="s">
        <v>37</v>
      </c>
      <c r="G124" s="84">
        <v>1170</v>
      </c>
      <c r="H124" s="85">
        <v>1290</v>
      </c>
      <c r="I124" s="313">
        <f t="shared" si="9"/>
        <v>1353.2099999999998</v>
      </c>
      <c r="J124" s="39">
        <f t="shared" si="12"/>
        <v>68</v>
      </c>
      <c r="K124" s="39" t="s">
        <v>38</v>
      </c>
      <c r="L124" s="25">
        <v>9500</v>
      </c>
      <c r="M124" s="82">
        <v>12240</v>
      </c>
      <c r="N124" s="313">
        <f t="shared" si="10"/>
        <v>12839.759999999998</v>
      </c>
      <c r="O124">
        <v>141</v>
      </c>
      <c r="P124" s="19" t="s">
        <v>36</v>
      </c>
      <c r="Q124" s="199">
        <v>365</v>
      </c>
      <c r="R124" s="93">
        <v>425</v>
      </c>
      <c r="S124" s="313">
        <f t="shared" si="11"/>
        <v>445.82499999999999</v>
      </c>
    </row>
    <row r="125" spans="1:19" ht="15" thickBot="1">
      <c r="A125">
        <f t="shared" si="13"/>
        <v>6</v>
      </c>
      <c r="B125" s="4" t="s">
        <v>39</v>
      </c>
      <c r="G125" s="84">
        <v>1830</v>
      </c>
      <c r="H125" s="85">
        <v>1930</v>
      </c>
      <c r="I125" s="313">
        <f t="shared" si="9"/>
        <v>2024.57</v>
      </c>
      <c r="J125" s="39">
        <f t="shared" si="12"/>
        <v>69</v>
      </c>
      <c r="K125" s="59" t="s">
        <v>40</v>
      </c>
      <c r="L125" s="25" t="s">
        <v>209</v>
      </c>
      <c r="M125" s="83">
        <v>11400</v>
      </c>
      <c r="N125" s="313">
        <f t="shared" si="10"/>
        <v>11958.599999999999</v>
      </c>
      <c r="R125" s="34"/>
    </row>
    <row r="126" spans="1:19" ht="15" thickBot="1">
      <c r="A126">
        <f t="shared" si="13"/>
        <v>7</v>
      </c>
      <c r="B126" s="4" t="s">
        <v>41</v>
      </c>
      <c r="G126" s="84">
        <v>1330</v>
      </c>
      <c r="H126" s="85">
        <v>1660</v>
      </c>
      <c r="I126" s="313">
        <f t="shared" si="9"/>
        <v>1741.34</v>
      </c>
      <c r="J126" s="39">
        <f t="shared" si="12"/>
        <v>70</v>
      </c>
      <c r="K126" s="59" t="s">
        <v>42</v>
      </c>
      <c r="L126" s="25">
        <v>1065</v>
      </c>
      <c r="M126" s="82">
        <v>1210</v>
      </c>
      <c r="N126" s="313">
        <f t="shared" si="10"/>
        <v>1269.29</v>
      </c>
    </row>
    <row r="127" spans="1:19" ht="15" thickBot="1">
      <c r="A127">
        <f t="shared" si="13"/>
        <v>8</v>
      </c>
      <c r="B127" s="4" t="s">
        <v>43</v>
      </c>
      <c r="G127" s="84">
        <v>1545</v>
      </c>
      <c r="H127" s="85">
        <v>1990</v>
      </c>
      <c r="I127" s="313">
        <f t="shared" si="9"/>
        <v>2087.5099999999998</v>
      </c>
      <c r="J127" s="39">
        <f t="shared" si="12"/>
        <v>71</v>
      </c>
      <c r="K127" s="59" t="s">
        <v>44</v>
      </c>
      <c r="L127" s="25">
        <v>1110</v>
      </c>
      <c r="M127" s="88">
        <v>655</v>
      </c>
      <c r="N127" s="313">
        <f t="shared" si="10"/>
        <v>687.09499999999991</v>
      </c>
    </row>
    <row r="128" spans="1:19" ht="15" thickBot="1">
      <c r="A128">
        <f t="shared" si="13"/>
        <v>9</v>
      </c>
      <c r="B128" s="4" t="s">
        <v>45</v>
      </c>
      <c r="G128" s="84">
        <v>-120</v>
      </c>
      <c r="H128" s="85">
        <v>-120</v>
      </c>
      <c r="I128" s="313">
        <f t="shared" si="9"/>
        <v>-125.88</v>
      </c>
      <c r="J128" s="39">
        <f t="shared" si="12"/>
        <v>72</v>
      </c>
      <c r="K128" s="59" t="s">
        <v>46</v>
      </c>
      <c r="L128" s="25">
        <v>260</v>
      </c>
      <c r="M128" s="88">
        <v>300</v>
      </c>
      <c r="N128" s="313">
        <f t="shared" si="10"/>
        <v>314.7</v>
      </c>
    </row>
    <row r="129" spans="1:14" ht="15" thickBot="1">
      <c r="A129">
        <f t="shared" si="13"/>
        <v>10</v>
      </c>
      <c r="B129" s="4" t="s">
        <v>47</v>
      </c>
      <c r="G129" s="84">
        <v>505</v>
      </c>
      <c r="H129" s="85">
        <v>1185</v>
      </c>
      <c r="I129" s="313">
        <f t="shared" si="9"/>
        <v>1243.0649999999998</v>
      </c>
      <c r="J129" s="39">
        <f t="shared" si="12"/>
        <v>73</v>
      </c>
      <c r="K129" s="59" t="s">
        <v>48</v>
      </c>
      <c r="L129" s="25">
        <v>870</v>
      </c>
      <c r="M129" s="88">
        <v>1100</v>
      </c>
      <c r="N129" s="313">
        <f t="shared" si="10"/>
        <v>1153.8999999999999</v>
      </c>
    </row>
    <row r="130" spans="1:14" ht="15" thickBot="1">
      <c r="A130">
        <f t="shared" si="13"/>
        <v>11</v>
      </c>
      <c r="B130" t="s">
        <v>211</v>
      </c>
      <c r="G130" s="84">
        <v>505</v>
      </c>
      <c r="H130" s="85">
        <v>1185</v>
      </c>
      <c r="I130" s="313">
        <f t="shared" si="9"/>
        <v>1243.0649999999998</v>
      </c>
      <c r="J130" s="39">
        <f t="shared" si="12"/>
        <v>74</v>
      </c>
      <c r="K130" s="59" t="s">
        <v>50</v>
      </c>
      <c r="L130" s="25">
        <v>160</v>
      </c>
      <c r="M130" s="88">
        <v>150</v>
      </c>
      <c r="N130" s="313">
        <f t="shared" si="10"/>
        <v>157.35</v>
      </c>
    </row>
    <row r="131" spans="1:14" ht="15" thickBot="1">
      <c r="A131">
        <f t="shared" si="13"/>
        <v>12</v>
      </c>
      <c r="B131" s="4" t="s">
        <v>51</v>
      </c>
      <c r="E131" s="1"/>
      <c r="G131" s="84">
        <v>505</v>
      </c>
      <c r="H131" s="85">
        <v>1185</v>
      </c>
      <c r="I131" s="313">
        <f t="shared" si="9"/>
        <v>1243.0649999999998</v>
      </c>
      <c r="J131" s="39">
        <f t="shared" si="12"/>
        <v>75</v>
      </c>
      <c r="K131" s="59" t="s">
        <v>52</v>
      </c>
      <c r="L131" s="25">
        <v>660</v>
      </c>
      <c r="M131" s="82">
        <v>740</v>
      </c>
      <c r="N131" s="313">
        <f t="shared" si="10"/>
        <v>776.26</v>
      </c>
    </row>
    <row r="132" spans="1:14" ht="15" thickBot="1">
      <c r="A132">
        <f t="shared" si="13"/>
        <v>13</v>
      </c>
      <c r="B132" s="4" t="s">
        <v>53</v>
      </c>
      <c r="E132" s="1"/>
      <c r="G132" s="84" t="s">
        <v>208</v>
      </c>
      <c r="H132" s="86" t="s">
        <v>208</v>
      </c>
      <c r="I132" s="313"/>
      <c r="J132" s="39">
        <f t="shared" si="12"/>
        <v>76</v>
      </c>
      <c r="K132" s="59" t="s">
        <v>54</v>
      </c>
      <c r="L132" s="25" t="s">
        <v>192</v>
      </c>
      <c r="M132" s="83" t="s">
        <v>208</v>
      </c>
      <c r="N132" s="313"/>
    </row>
    <row r="133" spans="1:14" ht="15" thickBot="1">
      <c r="A133">
        <f t="shared" si="13"/>
        <v>14</v>
      </c>
      <c r="B133" s="4" t="s">
        <v>55</v>
      </c>
      <c r="E133" s="1"/>
      <c r="G133" s="84">
        <v>755</v>
      </c>
      <c r="H133" s="85">
        <v>585</v>
      </c>
      <c r="I133" s="313">
        <f t="shared" si="9"/>
        <v>613.66499999999996</v>
      </c>
      <c r="J133" s="39">
        <f t="shared" si="12"/>
        <v>77</v>
      </c>
      <c r="K133" s="59" t="s">
        <v>56</v>
      </c>
      <c r="L133" s="25" t="s">
        <v>208</v>
      </c>
      <c r="M133" s="89" t="s">
        <v>209</v>
      </c>
      <c r="N133" s="313"/>
    </row>
    <row r="134" spans="1:14" ht="15" thickBot="1">
      <c r="A134">
        <f t="shared" si="13"/>
        <v>15</v>
      </c>
      <c r="B134" s="4" t="s">
        <v>58</v>
      </c>
      <c r="G134" s="84">
        <v>-500</v>
      </c>
      <c r="H134" s="86" t="s">
        <v>32</v>
      </c>
      <c r="I134" s="313"/>
      <c r="J134" s="39">
        <f t="shared" si="12"/>
        <v>78</v>
      </c>
      <c r="K134" s="59" t="s">
        <v>59</v>
      </c>
      <c r="L134" s="25">
        <v>400</v>
      </c>
      <c r="M134" s="88">
        <v>420</v>
      </c>
      <c r="N134" s="313">
        <f t="shared" si="10"/>
        <v>440.58</v>
      </c>
    </row>
    <row r="135" spans="1:14" ht="15" thickBot="1">
      <c r="A135">
        <f t="shared" si="13"/>
        <v>16</v>
      </c>
      <c r="B135" s="4" t="s">
        <v>60</v>
      </c>
      <c r="G135" s="84">
        <v>60</v>
      </c>
      <c r="H135" s="85">
        <v>75</v>
      </c>
      <c r="I135" s="313">
        <f t="shared" si="9"/>
        <v>78.674999999999997</v>
      </c>
      <c r="J135" s="39">
        <f t="shared" si="12"/>
        <v>79</v>
      </c>
      <c r="K135" s="59" t="s">
        <v>61</v>
      </c>
      <c r="L135" s="25">
        <v>2500</v>
      </c>
      <c r="M135" s="88">
        <v>2625</v>
      </c>
      <c r="N135" s="313">
        <f t="shared" si="10"/>
        <v>2753.625</v>
      </c>
    </row>
    <row r="136" spans="1:14" ht="15" thickBot="1">
      <c r="A136">
        <f t="shared" si="13"/>
        <v>17</v>
      </c>
      <c r="B136" t="s">
        <v>62</v>
      </c>
      <c r="E136" s="1"/>
      <c r="G136" s="84">
        <v>60</v>
      </c>
      <c r="H136" s="85">
        <v>75</v>
      </c>
      <c r="I136" s="313">
        <f t="shared" si="9"/>
        <v>78.674999999999997</v>
      </c>
      <c r="J136" s="39">
        <f t="shared" si="12"/>
        <v>80</v>
      </c>
      <c r="K136" s="59" t="s">
        <v>63</v>
      </c>
      <c r="L136" s="25">
        <v>3100</v>
      </c>
      <c r="M136" s="88">
        <v>3255</v>
      </c>
      <c r="N136" s="313">
        <f t="shared" si="10"/>
        <v>3414.4949999999999</v>
      </c>
    </row>
    <row r="137" spans="1:14" ht="15" thickBot="1">
      <c r="A137">
        <f t="shared" si="13"/>
        <v>18</v>
      </c>
      <c r="B137" t="s">
        <v>64</v>
      </c>
      <c r="E137" s="1"/>
      <c r="G137" s="84">
        <v>90</v>
      </c>
      <c r="H137" s="85">
        <v>135</v>
      </c>
      <c r="I137" s="313">
        <f t="shared" si="9"/>
        <v>141.61499999999998</v>
      </c>
      <c r="J137" s="39">
        <f t="shared" si="12"/>
        <v>81</v>
      </c>
      <c r="K137" s="59" t="s">
        <v>212</v>
      </c>
      <c r="L137" s="25">
        <v>150</v>
      </c>
      <c r="M137" s="89" t="s">
        <v>209</v>
      </c>
      <c r="N137" s="313"/>
    </row>
    <row r="138" spans="1:14" ht="15" thickBot="1">
      <c r="A138">
        <f t="shared" si="13"/>
        <v>19</v>
      </c>
      <c r="B138" t="s">
        <v>66</v>
      </c>
      <c r="E138" s="1"/>
      <c r="G138" s="84">
        <v>70</v>
      </c>
      <c r="H138" s="85">
        <v>95</v>
      </c>
      <c r="I138" s="313">
        <f t="shared" si="9"/>
        <v>99.654999999999987</v>
      </c>
      <c r="J138" s="39">
        <f t="shared" si="12"/>
        <v>82</v>
      </c>
      <c r="K138" s="59" t="s">
        <v>213</v>
      </c>
      <c r="L138" s="25">
        <v>120</v>
      </c>
      <c r="M138" s="82">
        <v>130</v>
      </c>
      <c r="N138" s="313">
        <f t="shared" si="10"/>
        <v>136.37</v>
      </c>
    </row>
    <row r="139" spans="1:14" ht="15" thickBot="1">
      <c r="A139">
        <f t="shared" si="13"/>
        <v>20</v>
      </c>
      <c r="B139" t="s">
        <v>68</v>
      </c>
      <c r="E139" s="1"/>
      <c r="G139" s="84">
        <v>75</v>
      </c>
      <c r="H139" s="85">
        <v>125</v>
      </c>
      <c r="I139" s="313">
        <f t="shared" si="9"/>
        <v>131.125</v>
      </c>
      <c r="J139" s="39">
        <f t="shared" si="12"/>
        <v>83</v>
      </c>
      <c r="K139" s="59" t="s">
        <v>69</v>
      </c>
      <c r="L139" s="25">
        <v>-100</v>
      </c>
      <c r="M139" s="83" t="s">
        <v>209</v>
      </c>
      <c r="N139" s="313"/>
    </row>
    <row r="140" spans="1:14" ht="15" thickBot="1">
      <c r="A140">
        <f t="shared" si="13"/>
        <v>21</v>
      </c>
      <c r="B140" t="s">
        <v>70</v>
      </c>
      <c r="E140" s="1"/>
      <c r="G140" s="84">
        <v>80</v>
      </c>
      <c r="H140" s="85">
        <v>150</v>
      </c>
      <c r="I140" s="313">
        <f t="shared" si="9"/>
        <v>157.35</v>
      </c>
      <c r="J140" s="39">
        <f t="shared" si="12"/>
        <v>84</v>
      </c>
      <c r="K140" s="59" t="s">
        <v>71</v>
      </c>
      <c r="L140" s="25">
        <v>285</v>
      </c>
      <c r="M140" s="82">
        <v>310</v>
      </c>
      <c r="N140" s="313">
        <f t="shared" si="10"/>
        <v>325.19</v>
      </c>
    </row>
    <row r="141" spans="1:14" ht="15" thickBot="1">
      <c r="A141">
        <f t="shared" si="13"/>
        <v>22</v>
      </c>
      <c r="B141" t="s">
        <v>72</v>
      </c>
      <c r="E141" s="1"/>
      <c r="G141" s="84">
        <v>50</v>
      </c>
      <c r="H141" s="85">
        <v>50</v>
      </c>
      <c r="I141" s="313">
        <f t="shared" si="9"/>
        <v>52.449999999999996</v>
      </c>
      <c r="J141" s="39">
        <f t="shared" si="12"/>
        <v>85</v>
      </c>
      <c r="K141" s="59" t="s">
        <v>73</v>
      </c>
      <c r="L141" s="25">
        <v>1060</v>
      </c>
      <c r="M141" s="82">
        <v>1115</v>
      </c>
      <c r="N141" s="313">
        <f t="shared" si="10"/>
        <v>1169.635</v>
      </c>
    </row>
    <row r="142" spans="1:14" ht="15" thickBot="1">
      <c r="A142">
        <f t="shared" si="13"/>
        <v>23</v>
      </c>
      <c r="B142" t="s">
        <v>74</v>
      </c>
      <c r="E142" s="1"/>
      <c r="G142" s="84">
        <v>100</v>
      </c>
      <c r="H142" s="85">
        <v>120</v>
      </c>
      <c r="I142" s="313">
        <f t="shared" si="9"/>
        <v>125.88</v>
      </c>
      <c r="J142" s="39">
        <f t="shared" si="12"/>
        <v>86</v>
      </c>
      <c r="K142" s="59" t="s">
        <v>75</v>
      </c>
      <c r="L142" s="25">
        <v>80</v>
      </c>
      <c r="M142" s="82">
        <v>85</v>
      </c>
      <c r="N142" s="313">
        <f t="shared" si="10"/>
        <v>89.164999999999992</v>
      </c>
    </row>
    <row r="143" spans="1:14" ht="15" thickBot="1">
      <c r="A143">
        <f t="shared" si="13"/>
        <v>24</v>
      </c>
      <c r="B143" t="s">
        <v>76</v>
      </c>
      <c r="E143" s="1"/>
      <c r="G143" s="84">
        <v>1600</v>
      </c>
      <c r="H143" s="86" t="s">
        <v>209</v>
      </c>
      <c r="I143" s="313"/>
      <c r="J143" s="39">
        <f t="shared" si="12"/>
        <v>87</v>
      </c>
      <c r="K143" s="59" t="s">
        <v>78</v>
      </c>
      <c r="L143" s="25">
        <v>460</v>
      </c>
      <c r="M143" s="82">
        <v>485</v>
      </c>
      <c r="N143" s="313">
        <f t="shared" si="10"/>
        <v>508.76499999999999</v>
      </c>
    </row>
    <row r="144" spans="1:14" ht="15" thickBot="1">
      <c r="A144">
        <f t="shared" si="13"/>
        <v>25</v>
      </c>
      <c r="B144" s="4" t="s">
        <v>79</v>
      </c>
      <c r="E144" s="1"/>
      <c r="G144" s="84">
        <v>505</v>
      </c>
      <c r="H144" s="85">
        <v>530</v>
      </c>
      <c r="I144" s="313">
        <f t="shared" si="9"/>
        <v>555.96999999999991</v>
      </c>
      <c r="J144" s="39">
        <f t="shared" si="12"/>
        <v>88</v>
      </c>
      <c r="K144" s="59" t="s">
        <v>80</v>
      </c>
      <c r="L144" s="25">
        <v>60</v>
      </c>
      <c r="M144" s="82">
        <v>65</v>
      </c>
      <c r="N144" s="313">
        <f t="shared" si="10"/>
        <v>68.185000000000002</v>
      </c>
    </row>
    <row r="145" spans="1:18" ht="15" thickBot="1">
      <c r="A145">
        <f t="shared" si="13"/>
        <v>26</v>
      </c>
      <c r="B145" s="4" t="s">
        <v>81</v>
      </c>
      <c r="G145" s="84">
        <v>505</v>
      </c>
      <c r="H145" s="85">
        <v>530</v>
      </c>
      <c r="I145" s="313">
        <f t="shared" si="9"/>
        <v>555.96999999999991</v>
      </c>
      <c r="J145" s="39">
        <f t="shared" si="12"/>
        <v>89</v>
      </c>
      <c r="K145" s="59" t="s">
        <v>82</v>
      </c>
      <c r="L145" s="25">
        <v>150</v>
      </c>
      <c r="M145" s="82">
        <v>160</v>
      </c>
      <c r="N145" s="313">
        <f t="shared" si="10"/>
        <v>167.83999999999997</v>
      </c>
    </row>
    <row r="146" spans="1:18" ht="15" thickBot="1">
      <c r="A146">
        <f t="shared" si="13"/>
        <v>27</v>
      </c>
      <c r="B146" s="4" t="s">
        <v>83</v>
      </c>
      <c r="G146" s="84">
        <v>150</v>
      </c>
      <c r="H146" s="85">
        <v>250</v>
      </c>
      <c r="I146" s="313">
        <f t="shared" si="9"/>
        <v>262.25</v>
      </c>
      <c r="J146" s="39">
        <f t="shared" si="12"/>
        <v>90</v>
      </c>
      <c r="K146" s="59" t="s">
        <v>84</v>
      </c>
      <c r="L146" s="25">
        <v>75</v>
      </c>
      <c r="M146" s="82">
        <v>100</v>
      </c>
      <c r="N146" s="313">
        <f t="shared" si="10"/>
        <v>104.89999999999999</v>
      </c>
    </row>
    <row r="147" spans="1:18" ht="15" thickBot="1">
      <c r="A147">
        <f t="shared" si="13"/>
        <v>28</v>
      </c>
      <c r="B147" s="4" t="s">
        <v>85</v>
      </c>
      <c r="G147" s="84">
        <v>505</v>
      </c>
      <c r="H147" s="85">
        <v>705</v>
      </c>
      <c r="I147" s="313">
        <f t="shared" si="9"/>
        <v>739.54499999999996</v>
      </c>
      <c r="J147" s="39">
        <f t="shared" si="12"/>
        <v>91</v>
      </c>
      <c r="K147" s="59" t="s">
        <v>86</v>
      </c>
      <c r="L147" s="25">
        <v>800</v>
      </c>
      <c r="M147" s="82">
        <v>1055</v>
      </c>
      <c r="N147" s="313">
        <f t="shared" si="10"/>
        <v>1106.6949999999999</v>
      </c>
    </row>
    <row r="148" spans="1:18" ht="15" thickBot="1">
      <c r="A148">
        <f t="shared" si="13"/>
        <v>29</v>
      </c>
      <c r="B148" s="4" t="s">
        <v>87</v>
      </c>
      <c r="G148" s="84">
        <v>530</v>
      </c>
      <c r="H148" s="85">
        <v>745</v>
      </c>
      <c r="I148" s="313">
        <f t="shared" si="9"/>
        <v>781.505</v>
      </c>
      <c r="J148" s="39">
        <f t="shared" si="12"/>
        <v>92</v>
      </c>
      <c r="K148" s="59" t="s">
        <v>88</v>
      </c>
      <c r="L148" s="25">
        <v>525</v>
      </c>
      <c r="M148" s="82">
        <v>800</v>
      </c>
      <c r="N148" s="313">
        <f t="shared" si="10"/>
        <v>839.19999999999993</v>
      </c>
    </row>
    <row r="149" spans="1:18" ht="15" thickBot="1">
      <c r="A149">
        <f t="shared" si="13"/>
        <v>30</v>
      </c>
      <c r="B149" s="4" t="s">
        <v>89</v>
      </c>
      <c r="G149" s="84">
        <v>775</v>
      </c>
      <c r="H149" s="85">
        <v>1080</v>
      </c>
      <c r="I149" s="313">
        <f t="shared" si="9"/>
        <v>1132.9199999999998</v>
      </c>
      <c r="J149" s="39">
        <f t="shared" si="12"/>
        <v>93</v>
      </c>
      <c r="K149" s="39" t="s">
        <v>90</v>
      </c>
      <c r="L149" s="25">
        <v>350</v>
      </c>
      <c r="M149" s="82">
        <v>400</v>
      </c>
      <c r="N149" s="313">
        <f t="shared" si="10"/>
        <v>419.59999999999997</v>
      </c>
    </row>
    <row r="150" spans="1:18" ht="15" thickBot="1">
      <c r="A150">
        <f t="shared" si="13"/>
        <v>31</v>
      </c>
      <c r="B150" t="s">
        <v>91</v>
      </c>
      <c r="G150" s="84">
        <v>-100</v>
      </c>
      <c r="H150" s="85">
        <v>-100</v>
      </c>
      <c r="I150" s="313">
        <f t="shared" si="9"/>
        <v>-104.89999999999999</v>
      </c>
      <c r="J150" s="39">
        <f t="shared" si="12"/>
        <v>94</v>
      </c>
      <c r="K150" s="59" t="s">
        <v>92</v>
      </c>
      <c r="L150" s="25">
        <v>450</v>
      </c>
      <c r="M150" s="82">
        <v>495</v>
      </c>
      <c r="N150" s="313">
        <f t="shared" si="10"/>
        <v>519.255</v>
      </c>
    </row>
    <row r="151" spans="1:18" ht="15" thickBot="1">
      <c r="A151">
        <f t="shared" si="13"/>
        <v>32</v>
      </c>
      <c r="B151" t="s">
        <v>93</v>
      </c>
      <c r="G151" s="84">
        <v>-100</v>
      </c>
      <c r="H151" s="85">
        <v>-100</v>
      </c>
      <c r="I151" s="313">
        <f t="shared" si="9"/>
        <v>-104.89999999999999</v>
      </c>
      <c r="J151" s="39">
        <f t="shared" si="12"/>
        <v>95</v>
      </c>
      <c r="K151" s="39" t="s">
        <v>94</v>
      </c>
      <c r="L151" s="25">
        <v>165</v>
      </c>
      <c r="M151" s="82">
        <v>182</v>
      </c>
      <c r="N151" s="313">
        <f t="shared" si="10"/>
        <v>190.91799999999998</v>
      </c>
    </row>
    <row r="152" spans="1:18" ht="15" thickBot="1">
      <c r="A152">
        <f t="shared" si="13"/>
        <v>33</v>
      </c>
      <c r="B152" t="s">
        <v>95</v>
      </c>
      <c r="G152" s="84">
        <v>1600</v>
      </c>
      <c r="H152" s="85">
        <v>1920</v>
      </c>
      <c r="I152" s="313">
        <f t="shared" si="9"/>
        <v>2014.08</v>
      </c>
      <c r="J152" s="39">
        <f t="shared" si="12"/>
        <v>96</v>
      </c>
      <c r="K152" s="39" t="s">
        <v>96</v>
      </c>
      <c r="L152" s="25">
        <v>4380</v>
      </c>
      <c r="M152" s="82">
        <v>4600</v>
      </c>
      <c r="N152" s="313">
        <f t="shared" si="10"/>
        <v>4825.3999999999996</v>
      </c>
    </row>
    <row r="153" spans="1:18" ht="15" thickBot="1">
      <c r="A153">
        <f t="shared" si="13"/>
        <v>34</v>
      </c>
      <c r="B153" t="s">
        <v>97</v>
      </c>
      <c r="G153" s="84">
        <v>2880</v>
      </c>
      <c r="H153" s="85">
        <v>3600</v>
      </c>
      <c r="I153" s="313">
        <f t="shared" si="9"/>
        <v>3776.3999999999996</v>
      </c>
      <c r="J153" s="39">
        <f t="shared" si="12"/>
        <v>97</v>
      </c>
      <c r="K153" s="39" t="s">
        <v>201</v>
      </c>
      <c r="L153" s="25"/>
      <c r="M153" s="82"/>
      <c r="N153" s="313">
        <f t="shared" si="10"/>
        <v>0</v>
      </c>
    </row>
    <row r="154" spans="1:18" ht="15" thickBot="1">
      <c r="A154">
        <f t="shared" si="13"/>
        <v>35</v>
      </c>
      <c r="B154" t="s">
        <v>219</v>
      </c>
      <c r="G154" s="84" t="s">
        <v>209</v>
      </c>
      <c r="H154" s="86" t="s">
        <v>209</v>
      </c>
      <c r="I154" s="313"/>
      <c r="J154" s="39">
        <f t="shared" si="12"/>
        <v>98</v>
      </c>
      <c r="K154" s="59" t="s">
        <v>100</v>
      </c>
      <c r="L154" s="25">
        <v>3005</v>
      </c>
      <c r="M154" s="82">
        <v>3155</v>
      </c>
      <c r="N154" s="313">
        <f t="shared" si="10"/>
        <v>3309.5949999999998</v>
      </c>
    </row>
    <row r="155" spans="1:18" ht="15" thickBot="1">
      <c r="A155">
        <f t="shared" si="13"/>
        <v>36</v>
      </c>
      <c r="B155" t="s">
        <v>101</v>
      </c>
      <c r="G155" s="84" t="s">
        <v>209</v>
      </c>
      <c r="H155" s="86" t="s">
        <v>209</v>
      </c>
      <c r="I155" s="313"/>
      <c r="J155" s="39">
        <f t="shared" si="12"/>
        <v>99</v>
      </c>
      <c r="K155" s="59" t="s">
        <v>102</v>
      </c>
      <c r="L155" s="25">
        <v>6600</v>
      </c>
      <c r="M155" s="82">
        <v>7155</v>
      </c>
      <c r="N155" s="313">
        <f t="shared" si="10"/>
        <v>7505.5949999999993</v>
      </c>
      <c r="R155" s="4"/>
    </row>
    <row r="156" spans="1:18" ht="15" thickBot="1">
      <c r="A156">
        <f t="shared" si="13"/>
        <v>37</v>
      </c>
      <c r="B156" t="s">
        <v>103</v>
      </c>
      <c r="G156" s="84">
        <v>30</v>
      </c>
      <c r="H156" s="85">
        <v>30</v>
      </c>
      <c r="I156" s="313">
        <f t="shared" si="9"/>
        <v>31.47</v>
      </c>
      <c r="J156" s="39">
        <f t="shared" si="12"/>
        <v>100</v>
      </c>
      <c r="K156" s="59" t="s">
        <v>104</v>
      </c>
      <c r="L156" s="25">
        <v>8000</v>
      </c>
      <c r="M156" s="82">
        <v>8800</v>
      </c>
      <c r="N156" s="313">
        <f t="shared" si="10"/>
        <v>9231.1999999999989</v>
      </c>
      <c r="R156" s="4"/>
    </row>
    <row r="157" spans="1:18" ht="15" thickBot="1">
      <c r="A157">
        <f t="shared" si="13"/>
        <v>38</v>
      </c>
      <c r="B157" t="s">
        <v>105</v>
      </c>
      <c r="G157" s="84">
        <v>30</v>
      </c>
      <c r="H157" s="85">
        <v>30</v>
      </c>
      <c r="I157" s="313">
        <f t="shared" si="9"/>
        <v>31.47</v>
      </c>
      <c r="J157" s="39">
        <f t="shared" si="12"/>
        <v>101</v>
      </c>
      <c r="K157" s="39" t="s">
        <v>106</v>
      </c>
      <c r="L157" s="25">
        <v>6640</v>
      </c>
      <c r="M157" s="82">
        <v>6640</v>
      </c>
      <c r="N157" s="313">
        <f t="shared" si="10"/>
        <v>6965.36</v>
      </c>
      <c r="O157" s="10"/>
      <c r="R157" s="4"/>
    </row>
    <row r="158" spans="1:18" ht="15" thickBot="1">
      <c r="A158">
        <f t="shared" si="13"/>
        <v>39</v>
      </c>
      <c r="B158" t="s">
        <v>107</v>
      </c>
      <c r="G158" s="84">
        <v>-10</v>
      </c>
      <c r="H158" s="85">
        <v>-10</v>
      </c>
      <c r="I158" s="313">
        <f t="shared" si="9"/>
        <v>-10.489999999999998</v>
      </c>
      <c r="J158" s="39">
        <f t="shared" si="12"/>
        <v>102</v>
      </c>
      <c r="K158" s="59" t="s">
        <v>108</v>
      </c>
      <c r="L158" s="25" t="s">
        <v>57</v>
      </c>
      <c r="M158" s="83" t="s">
        <v>208</v>
      </c>
      <c r="N158" s="313"/>
      <c r="O158" s="11"/>
      <c r="R158" s="4"/>
    </row>
    <row r="159" spans="1:18" ht="15" thickBot="1">
      <c r="A159">
        <f t="shared" si="13"/>
        <v>40</v>
      </c>
      <c r="B159" t="s">
        <v>109</v>
      </c>
      <c r="G159" s="84">
        <v>800</v>
      </c>
      <c r="H159" s="85">
        <v>800</v>
      </c>
      <c r="I159" s="313">
        <f t="shared" si="9"/>
        <v>839.19999999999993</v>
      </c>
      <c r="J159" s="39">
        <f t="shared" si="12"/>
        <v>103</v>
      </c>
      <c r="K159" s="59" t="s">
        <v>110</v>
      </c>
      <c r="L159" s="25">
        <v>875</v>
      </c>
      <c r="M159" s="82">
        <v>875</v>
      </c>
      <c r="N159" s="313">
        <f t="shared" si="10"/>
        <v>917.87499999999989</v>
      </c>
      <c r="O159" s="10"/>
      <c r="R159" s="4"/>
    </row>
    <row r="160" spans="1:18" ht="15" thickBot="1">
      <c r="A160">
        <f t="shared" si="13"/>
        <v>41</v>
      </c>
      <c r="B160" t="s">
        <v>111</v>
      </c>
      <c r="G160" s="84">
        <v>1100</v>
      </c>
      <c r="H160" s="86" t="s">
        <v>209</v>
      </c>
      <c r="I160" s="313"/>
      <c r="J160" s="39">
        <f t="shared" si="12"/>
        <v>104</v>
      </c>
      <c r="K160" s="59" t="s">
        <v>112</v>
      </c>
      <c r="L160" s="25" t="s">
        <v>209</v>
      </c>
      <c r="M160" s="83" t="s">
        <v>209</v>
      </c>
      <c r="N160" s="313"/>
      <c r="R160" s="4"/>
    </row>
    <row r="161" spans="1:18" ht="15" thickBot="1">
      <c r="A161">
        <f t="shared" si="13"/>
        <v>42</v>
      </c>
      <c r="B161" s="4" t="s">
        <v>113</v>
      </c>
      <c r="G161" s="84">
        <v>350</v>
      </c>
      <c r="H161" s="87">
        <v>300</v>
      </c>
      <c r="I161" s="313">
        <f t="shared" si="9"/>
        <v>314.7</v>
      </c>
      <c r="J161" s="39">
        <f t="shared" si="12"/>
        <v>105</v>
      </c>
      <c r="K161" s="39" t="s">
        <v>114</v>
      </c>
      <c r="L161" s="25">
        <v>4520</v>
      </c>
      <c r="M161" s="82">
        <v>5275</v>
      </c>
      <c r="N161" s="313">
        <f t="shared" si="10"/>
        <v>5533.4749999999995</v>
      </c>
      <c r="R161" s="4"/>
    </row>
    <row r="162" spans="1:18" ht="15" thickBot="1">
      <c r="A162">
        <f t="shared" si="13"/>
        <v>43</v>
      </c>
      <c r="B162" s="4" t="s">
        <v>115</v>
      </c>
      <c r="G162" s="84" t="s">
        <v>209</v>
      </c>
      <c r="H162" s="86" t="s">
        <v>209</v>
      </c>
      <c r="I162" s="313"/>
      <c r="J162" s="39">
        <f t="shared" si="12"/>
        <v>106</v>
      </c>
      <c r="K162" s="39" t="s">
        <v>116</v>
      </c>
      <c r="L162" s="25">
        <v>6875</v>
      </c>
      <c r="M162" s="82">
        <v>7370</v>
      </c>
      <c r="N162" s="313">
        <f t="shared" si="10"/>
        <v>7731.1299999999992</v>
      </c>
      <c r="R162" s="4"/>
    </row>
    <row r="163" spans="1:18" ht="15" thickBot="1">
      <c r="A163">
        <f t="shared" si="13"/>
        <v>44</v>
      </c>
      <c r="B163" s="4" t="s">
        <v>220</v>
      </c>
      <c r="G163" s="84">
        <v>0</v>
      </c>
      <c r="H163" s="85">
        <v>0</v>
      </c>
      <c r="I163" s="313">
        <f t="shared" si="9"/>
        <v>0</v>
      </c>
      <c r="J163" s="39">
        <f t="shared" si="12"/>
        <v>107</v>
      </c>
      <c r="K163" s="39" t="s">
        <v>118</v>
      </c>
      <c r="L163" s="25">
        <v>9500</v>
      </c>
      <c r="M163" s="82">
        <v>10055</v>
      </c>
      <c r="N163" s="313">
        <f t="shared" si="10"/>
        <v>10547.695</v>
      </c>
      <c r="R163" s="4"/>
    </row>
    <row r="164" spans="1:18" ht="15" thickBot="1">
      <c r="A164">
        <f t="shared" si="13"/>
        <v>45</v>
      </c>
      <c r="B164" t="s">
        <v>119</v>
      </c>
      <c r="G164" s="84">
        <v>250</v>
      </c>
      <c r="H164" s="85">
        <v>400</v>
      </c>
      <c r="I164" s="313">
        <f t="shared" si="9"/>
        <v>419.59999999999997</v>
      </c>
      <c r="J164" s="39">
        <f t="shared" si="12"/>
        <v>108</v>
      </c>
      <c r="K164" s="39" t="s">
        <v>120</v>
      </c>
      <c r="L164" s="25">
        <v>500</v>
      </c>
      <c r="M164" s="82">
        <v>500</v>
      </c>
      <c r="N164" s="313">
        <f t="shared" si="10"/>
        <v>524.5</v>
      </c>
      <c r="R164" s="4"/>
    </row>
    <row r="165" spans="1:18" ht="15" thickBot="1">
      <c r="A165">
        <f t="shared" si="13"/>
        <v>46</v>
      </c>
      <c r="B165" t="s">
        <v>121</v>
      </c>
      <c r="G165" s="84">
        <v>40</v>
      </c>
      <c r="H165" s="85">
        <v>50</v>
      </c>
      <c r="I165" s="313">
        <f t="shared" si="9"/>
        <v>52.449999999999996</v>
      </c>
      <c r="J165" s="39">
        <f t="shared" si="12"/>
        <v>109</v>
      </c>
      <c r="K165" s="39" t="s">
        <v>122</v>
      </c>
      <c r="L165" s="25">
        <v>3665</v>
      </c>
      <c r="M165" s="82">
        <v>3665</v>
      </c>
      <c r="N165" s="313">
        <f t="shared" si="10"/>
        <v>3844.5849999999996</v>
      </c>
      <c r="R165" s="4"/>
    </row>
    <row r="166" spans="1:18" ht="15" thickBot="1">
      <c r="A166">
        <f t="shared" si="13"/>
        <v>47</v>
      </c>
      <c r="B166" t="s">
        <v>123</v>
      </c>
      <c r="G166" s="84">
        <v>80</v>
      </c>
      <c r="H166" s="85">
        <v>170</v>
      </c>
      <c r="I166" s="313">
        <f t="shared" si="9"/>
        <v>178.32999999999998</v>
      </c>
      <c r="J166" s="39">
        <f t="shared" si="12"/>
        <v>110</v>
      </c>
      <c r="K166" s="39" t="s">
        <v>124</v>
      </c>
      <c r="L166" s="25">
        <v>4200</v>
      </c>
      <c r="M166" s="82">
        <v>5265</v>
      </c>
      <c r="N166" s="313">
        <f t="shared" si="10"/>
        <v>5522.9849999999997</v>
      </c>
      <c r="R166" s="4"/>
    </row>
    <row r="167" spans="1:18" ht="15" thickBot="1">
      <c r="A167">
        <f t="shared" si="13"/>
        <v>48</v>
      </c>
      <c r="B167" t="s">
        <v>125</v>
      </c>
      <c r="G167" s="84">
        <v>395</v>
      </c>
      <c r="H167" s="85">
        <v>460</v>
      </c>
      <c r="I167" s="313">
        <f t="shared" si="9"/>
        <v>482.53999999999996</v>
      </c>
      <c r="J167" s="39">
        <f t="shared" si="12"/>
        <v>111</v>
      </c>
      <c r="K167" s="39" t="s">
        <v>126</v>
      </c>
      <c r="L167" s="25">
        <v>5450</v>
      </c>
      <c r="M167" s="82">
        <v>5725</v>
      </c>
      <c r="N167" s="313">
        <f t="shared" si="10"/>
        <v>6005.5249999999996</v>
      </c>
      <c r="R167" s="4"/>
    </row>
    <row r="168" spans="1:18" ht="15" thickBot="1">
      <c r="A168">
        <f t="shared" si="13"/>
        <v>49</v>
      </c>
      <c r="B168" t="s">
        <v>127</v>
      </c>
      <c r="G168" s="84">
        <v>160</v>
      </c>
      <c r="H168" s="85">
        <v>200</v>
      </c>
      <c r="I168" s="313">
        <f t="shared" si="9"/>
        <v>209.79999999999998</v>
      </c>
      <c r="J168" s="39">
        <f t="shared" si="12"/>
        <v>112</v>
      </c>
      <c r="K168" s="39" t="s">
        <v>128</v>
      </c>
      <c r="L168" s="25">
        <v>6000</v>
      </c>
      <c r="M168" s="82">
        <v>5985</v>
      </c>
      <c r="N168" s="313">
        <f t="shared" si="10"/>
        <v>6278.2649999999994</v>
      </c>
      <c r="R168" s="4"/>
    </row>
    <row r="169" spans="1:18" ht="15" thickBot="1">
      <c r="A169">
        <f t="shared" si="13"/>
        <v>50</v>
      </c>
      <c r="B169" s="4" t="s">
        <v>129</v>
      </c>
      <c r="G169" s="84">
        <v>7500</v>
      </c>
      <c r="H169" s="85">
        <v>7470</v>
      </c>
      <c r="I169" s="313">
        <f t="shared" si="9"/>
        <v>7836.03</v>
      </c>
      <c r="J169" s="39">
        <f t="shared" si="12"/>
        <v>113</v>
      </c>
      <c r="K169" s="59" t="s">
        <v>130</v>
      </c>
      <c r="L169" s="25">
        <v>3525</v>
      </c>
      <c r="M169" s="82">
        <v>3650</v>
      </c>
      <c r="N169" s="313">
        <f t="shared" si="10"/>
        <v>3828.85</v>
      </c>
      <c r="R169" s="4"/>
    </row>
    <row r="170" spans="1:18" ht="15" thickBot="1">
      <c r="A170">
        <f t="shared" si="13"/>
        <v>51</v>
      </c>
      <c r="B170" s="4" t="s">
        <v>131</v>
      </c>
      <c r="G170" s="84">
        <v>1115</v>
      </c>
      <c r="H170" s="85">
        <v>1115</v>
      </c>
      <c r="I170" s="313">
        <f t="shared" si="9"/>
        <v>1169.635</v>
      </c>
      <c r="J170" s="39">
        <f t="shared" si="12"/>
        <v>114</v>
      </c>
      <c r="K170" s="59" t="s">
        <v>132</v>
      </c>
      <c r="L170" s="25">
        <v>4345</v>
      </c>
      <c r="M170" s="82">
        <v>5482</v>
      </c>
      <c r="N170" s="313">
        <f t="shared" si="10"/>
        <v>5750.6179999999995</v>
      </c>
      <c r="R170" s="4"/>
    </row>
    <row r="171" spans="1:18" ht="15" thickBot="1">
      <c r="A171">
        <f t="shared" si="13"/>
        <v>52</v>
      </c>
      <c r="B171" s="4" t="s">
        <v>133</v>
      </c>
      <c r="G171" s="84">
        <v>7395</v>
      </c>
      <c r="H171" s="85">
        <v>7365</v>
      </c>
      <c r="I171" s="313">
        <f t="shared" si="9"/>
        <v>7725.8849999999993</v>
      </c>
      <c r="J171" s="39">
        <f t="shared" si="12"/>
        <v>115</v>
      </c>
      <c r="K171" s="59" t="s">
        <v>134</v>
      </c>
      <c r="L171" s="25">
        <v>1500</v>
      </c>
      <c r="M171" s="82">
        <v>1750</v>
      </c>
      <c r="N171" s="313">
        <f t="shared" si="10"/>
        <v>1835.7499999999998</v>
      </c>
      <c r="R171" s="4"/>
    </row>
    <row r="172" spans="1:18" ht="15" thickBot="1">
      <c r="A172">
        <f t="shared" si="13"/>
        <v>53</v>
      </c>
      <c r="B172" s="4" t="s">
        <v>135</v>
      </c>
      <c r="G172" s="84">
        <v>7460</v>
      </c>
      <c r="H172" s="85">
        <v>7430</v>
      </c>
      <c r="I172" s="313">
        <f t="shared" si="9"/>
        <v>7794.07</v>
      </c>
      <c r="J172" s="39">
        <f t="shared" si="12"/>
        <v>116</v>
      </c>
      <c r="K172" s="59" t="s">
        <v>136</v>
      </c>
      <c r="L172" s="25">
        <v>750</v>
      </c>
      <c r="M172" s="82">
        <v>1000</v>
      </c>
      <c r="N172" s="313">
        <f t="shared" si="10"/>
        <v>1049</v>
      </c>
      <c r="R172" s="4"/>
    </row>
    <row r="173" spans="1:18" ht="15" thickBot="1">
      <c r="A173">
        <f t="shared" si="13"/>
        <v>54</v>
      </c>
      <c r="B173" s="4" t="s">
        <v>137</v>
      </c>
      <c r="G173" s="84">
        <v>675</v>
      </c>
      <c r="H173" s="86" t="s">
        <v>699</v>
      </c>
      <c r="I173" s="313"/>
      <c r="J173" s="39">
        <f t="shared" si="12"/>
        <v>117</v>
      </c>
      <c r="K173" s="39" t="s">
        <v>138</v>
      </c>
      <c r="L173" s="25">
        <v>5530</v>
      </c>
      <c r="M173" s="82">
        <v>6040</v>
      </c>
      <c r="N173" s="313">
        <f t="shared" si="10"/>
        <v>6335.96</v>
      </c>
      <c r="R173" s="4"/>
    </row>
    <row r="174" spans="1:18" ht="15" thickBot="1">
      <c r="A174">
        <f t="shared" si="13"/>
        <v>55</v>
      </c>
      <c r="B174" s="4" t="s">
        <v>139</v>
      </c>
      <c r="G174" s="84">
        <v>2825</v>
      </c>
      <c r="H174" s="85">
        <v>2795</v>
      </c>
      <c r="I174" s="313">
        <f t="shared" si="9"/>
        <v>2931.9549999999999</v>
      </c>
      <c r="J174" s="39">
        <f t="shared" si="12"/>
        <v>118</v>
      </c>
      <c r="K174" s="39" t="s">
        <v>140</v>
      </c>
      <c r="L174" s="25">
        <v>1940</v>
      </c>
      <c r="M174" s="82">
        <v>2200</v>
      </c>
      <c r="N174" s="313">
        <f t="shared" si="10"/>
        <v>2307.7999999999997</v>
      </c>
      <c r="R174" s="4"/>
    </row>
    <row r="175" spans="1:18" ht="15" thickBot="1">
      <c r="A175">
        <f t="shared" si="13"/>
        <v>56</v>
      </c>
      <c r="B175" s="4" t="s">
        <v>141</v>
      </c>
      <c r="G175" s="84">
        <v>4240</v>
      </c>
      <c r="H175" s="85">
        <v>4210</v>
      </c>
      <c r="I175" s="313">
        <f t="shared" si="9"/>
        <v>4416.29</v>
      </c>
      <c r="J175" s="39">
        <f t="shared" si="12"/>
        <v>119</v>
      </c>
      <c r="K175" s="39" t="s">
        <v>142</v>
      </c>
      <c r="L175" s="25" t="s">
        <v>209</v>
      </c>
      <c r="M175" s="83" t="s">
        <v>209</v>
      </c>
      <c r="N175" s="313"/>
      <c r="R175" s="4"/>
    </row>
    <row r="176" spans="1:18" ht="15" thickBot="1">
      <c r="A176">
        <f t="shared" si="13"/>
        <v>57</v>
      </c>
      <c r="B176" s="4" t="s">
        <v>143</v>
      </c>
      <c r="G176" s="84">
        <v>5015</v>
      </c>
      <c r="H176" s="85">
        <v>4985</v>
      </c>
      <c r="I176" s="313">
        <f t="shared" si="9"/>
        <v>5229.2649999999994</v>
      </c>
      <c r="J176" s="39">
        <f t="shared" si="12"/>
        <v>120</v>
      </c>
      <c r="K176" s="59" t="s">
        <v>144</v>
      </c>
      <c r="L176" s="25">
        <v>4345</v>
      </c>
      <c r="M176" s="82">
        <v>5240</v>
      </c>
      <c r="N176" s="313">
        <f t="shared" si="10"/>
        <v>5496.7599999999993</v>
      </c>
      <c r="R176" s="4"/>
    </row>
    <row r="177" spans="1:18" ht="15" thickBot="1">
      <c r="A177">
        <f t="shared" si="13"/>
        <v>58</v>
      </c>
      <c r="B177" s="4" t="s">
        <v>145</v>
      </c>
      <c r="G177" s="84">
        <v>8745</v>
      </c>
      <c r="H177" s="85">
        <v>8715</v>
      </c>
      <c r="I177" s="313">
        <f t="shared" si="9"/>
        <v>9142.0349999999999</v>
      </c>
      <c r="J177" s="39">
        <f t="shared" si="12"/>
        <v>121</v>
      </c>
      <c r="K177" s="60" t="s">
        <v>146</v>
      </c>
      <c r="L177" s="25">
        <v>6600</v>
      </c>
      <c r="M177" s="82">
        <v>9445</v>
      </c>
      <c r="N177" s="313">
        <f t="shared" si="10"/>
        <v>9907.8049999999985</v>
      </c>
      <c r="R177" s="4"/>
    </row>
    <row r="178" spans="1:18" ht="15" thickBot="1">
      <c r="A178">
        <f t="shared" si="13"/>
        <v>59</v>
      </c>
      <c r="B178" s="4" t="s">
        <v>147</v>
      </c>
      <c r="G178" s="84">
        <v>10230</v>
      </c>
      <c r="H178" s="85">
        <v>10200</v>
      </c>
      <c r="I178" s="313">
        <f t="shared" si="9"/>
        <v>10699.8</v>
      </c>
      <c r="J178" s="39">
        <f t="shared" si="12"/>
        <v>122</v>
      </c>
      <c r="K178" s="59" t="s">
        <v>148</v>
      </c>
      <c r="L178" s="25">
        <v>1620</v>
      </c>
      <c r="M178" s="83">
        <v>1750</v>
      </c>
      <c r="N178" s="313">
        <f t="shared" si="10"/>
        <v>1835.7499999999998</v>
      </c>
      <c r="R178" s="4"/>
    </row>
    <row r="179" spans="1:18" ht="15" thickBot="1">
      <c r="A179">
        <f t="shared" si="13"/>
        <v>60</v>
      </c>
      <c r="B179" s="4" t="s">
        <v>149</v>
      </c>
      <c r="G179" s="84">
        <v>1280</v>
      </c>
      <c r="H179" s="86" t="s">
        <v>32</v>
      </c>
      <c r="I179" s="313"/>
      <c r="J179" s="39">
        <f t="shared" si="12"/>
        <v>123</v>
      </c>
      <c r="K179" s="39" t="s">
        <v>150</v>
      </c>
      <c r="L179" s="25">
        <v>605</v>
      </c>
      <c r="M179" s="88">
        <v>800</v>
      </c>
      <c r="N179" s="313">
        <f t="shared" si="10"/>
        <v>839.19999999999993</v>
      </c>
      <c r="R179" s="4"/>
    </row>
    <row r="180" spans="1:18" ht="15" thickBot="1">
      <c r="A180">
        <f t="shared" si="13"/>
        <v>61</v>
      </c>
      <c r="B180" s="4" t="s">
        <v>151</v>
      </c>
      <c r="G180" s="84">
        <v>1980</v>
      </c>
      <c r="H180" s="86" t="s">
        <v>32</v>
      </c>
      <c r="I180" s="313"/>
      <c r="J180" s="39">
        <f t="shared" si="12"/>
        <v>124</v>
      </c>
      <c r="K180" s="39" t="s">
        <v>152</v>
      </c>
      <c r="L180" s="25">
        <v>605</v>
      </c>
      <c r="M180" s="88">
        <v>800</v>
      </c>
      <c r="N180" s="313">
        <f t="shared" si="10"/>
        <v>839.19999999999993</v>
      </c>
      <c r="R180" s="4"/>
    </row>
    <row r="181" spans="1:18" ht="15" thickBot="1">
      <c r="A181">
        <f t="shared" si="13"/>
        <v>62</v>
      </c>
      <c r="B181" s="4" t="s">
        <v>153</v>
      </c>
      <c r="G181" s="84">
        <v>2445</v>
      </c>
      <c r="H181" s="86" t="s">
        <v>32</v>
      </c>
      <c r="I181" s="313"/>
      <c r="J181" s="39">
        <f t="shared" si="12"/>
        <v>125</v>
      </c>
      <c r="K181" s="39" t="s">
        <v>154</v>
      </c>
      <c r="L181" s="25">
        <v>880</v>
      </c>
      <c r="M181" s="88">
        <v>1150</v>
      </c>
      <c r="N181" s="313">
        <f t="shared" si="10"/>
        <v>1206.3499999999999</v>
      </c>
      <c r="R181" s="4"/>
    </row>
    <row r="182" spans="1:18" ht="15" thickBot="1">
      <c r="A182">
        <f t="shared" si="13"/>
        <v>63</v>
      </c>
      <c r="B182" s="4" t="s">
        <v>155</v>
      </c>
      <c r="G182" s="84">
        <v>4330</v>
      </c>
      <c r="H182" s="86" t="s">
        <v>32</v>
      </c>
      <c r="I182" s="313"/>
      <c r="J182" s="39">
        <f t="shared" si="12"/>
        <v>126</v>
      </c>
      <c r="K182" s="39" t="s">
        <v>156</v>
      </c>
      <c r="L182" s="25">
        <v>605</v>
      </c>
      <c r="M182" s="88">
        <v>800</v>
      </c>
      <c r="N182" s="313">
        <f t="shared" si="10"/>
        <v>839.19999999999993</v>
      </c>
      <c r="R182" s="4"/>
    </row>
    <row r="183" spans="1:18" ht="15" thickBot="1">
      <c r="G183" s="61"/>
      <c r="H183" s="61"/>
      <c r="J183" s="39">
        <f>(J182+1)</f>
        <v>127</v>
      </c>
      <c r="K183" s="39" t="s">
        <v>157</v>
      </c>
      <c r="L183" s="25">
        <v>880</v>
      </c>
      <c r="M183" s="88">
        <v>1150</v>
      </c>
      <c r="N183" s="313">
        <f t="shared" si="10"/>
        <v>1206.3499999999999</v>
      </c>
    </row>
    <row r="184" spans="1:18" ht="15" thickBot="1">
      <c r="G184" s="61"/>
      <c r="H184" s="61"/>
      <c r="J184" s="39">
        <f t="shared" si="12"/>
        <v>128</v>
      </c>
      <c r="K184" s="39" t="s">
        <v>158</v>
      </c>
      <c r="L184" s="25">
        <v>1560</v>
      </c>
      <c r="M184" s="82">
        <v>2000</v>
      </c>
      <c r="N184" s="313">
        <f t="shared" ref="N184:N193" si="14">M184*1.049</f>
        <v>2098</v>
      </c>
    </row>
    <row r="185" spans="1:18" ht="15" thickBot="1">
      <c r="G185" s="61"/>
      <c r="H185" s="61"/>
      <c r="J185" s="39">
        <f>(J184+1)</f>
        <v>129</v>
      </c>
      <c r="K185" s="39" t="s">
        <v>160</v>
      </c>
      <c r="L185" s="25">
        <v>1710</v>
      </c>
      <c r="M185" s="82">
        <v>2200</v>
      </c>
      <c r="N185" s="313">
        <f t="shared" si="14"/>
        <v>2307.7999999999997</v>
      </c>
    </row>
    <row r="186" spans="1:18" ht="15" thickBot="1">
      <c r="G186" s="61"/>
      <c r="H186" s="61"/>
      <c r="J186" s="39">
        <f>(J185+1)</f>
        <v>130</v>
      </c>
      <c r="K186" s="39" t="s">
        <v>161</v>
      </c>
      <c r="L186" s="25">
        <v>1895</v>
      </c>
      <c r="M186" s="82">
        <v>2400</v>
      </c>
      <c r="N186" s="313">
        <f t="shared" si="14"/>
        <v>2517.6</v>
      </c>
    </row>
    <row r="187" spans="1:18" ht="15" thickBot="1">
      <c r="G187" s="61"/>
      <c r="H187" s="61"/>
      <c r="J187" s="39">
        <f>(J186+1)</f>
        <v>131</v>
      </c>
      <c r="K187" s="39" t="s">
        <v>162</v>
      </c>
      <c r="L187" s="25">
        <v>1940</v>
      </c>
      <c r="M187" s="82">
        <v>2500</v>
      </c>
      <c r="N187" s="313">
        <f t="shared" si="14"/>
        <v>2622.5</v>
      </c>
    </row>
    <row r="188" spans="1:18" ht="15" thickBot="1">
      <c r="G188" s="61"/>
      <c r="H188" s="61"/>
      <c r="J188" s="39">
        <f>(J187+1)</f>
        <v>132</v>
      </c>
      <c r="K188" s="39" t="s">
        <v>163</v>
      </c>
      <c r="L188" s="25">
        <v>3600</v>
      </c>
      <c r="M188" s="83">
        <v>5000</v>
      </c>
      <c r="N188" s="313">
        <f t="shared" si="14"/>
        <v>5245</v>
      </c>
    </row>
    <row r="189" spans="1:18" ht="15" thickBot="1">
      <c r="G189" s="61"/>
      <c r="H189" s="61"/>
      <c r="J189" s="39">
        <f>(J188+1)</f>
        <v>133</v>
      </c>
      <c r="K189" s="39" t="s">
        <v>164</v>
      </c>
      <c r="L189" s="25" t="s">
        <v>209</v>
      </c>
      <c r="M189" s="90">
        <v>2625</v>
      </c>
      <c r="N189" s="313">
        <f t="shared" si="14"/>
        <v>2753.625</v>
      </c>
    </row>
    <row r="190" spans="1:18" ht="15" thickBot="1">
      <c r="G190" s="61"/>
      <c r="H190" s="61"/>
      <c r="J190" s="39">
        <v>134</v>
      </c>
      <c r="K190" s="39" t="s">
        <v>222</v>
      </c>
      <c r="L190" s="25">
        <v>125</v>
      </c>
      <c r="M190" s="83" t="s">
        <v>209</v>
      </c>
      <c r="N190" s="313"/>
    </row>
    <row r="191" spans="1:18" ht="15" thickBot="1">
      <c r="G191" s="61"/>
      <c r="H191" s="61"/>
      <c r="J191" s="39">
        <v>135</v>
      </c>
      <c r="K191" s="39" t="s">
        <v>166</v>
      </c>
      <c r="L191" s="25">
        <v>370</v>
      </c>
      <c r="M191" s="82">
        <v>445</v>
      </c>
      <c r="N191" s="313">
        <f t="shared" si="14"/>
        <v>466.80499999999995</v>
      </c>
    </row>
    <row r="192" spans="1:18" ht="15" thickBot="1">
      <c r="G192" s="61"/>
      <c r="H192" s="61"/>
      <c r="J192" s="39">
        <v>136</v>
      </c>
      <c r="K192" s="39" t="s">
        <v>167</v>
      </c>
      <c r="L192" s="25">
        <v>2790</v>
      </c>
      <c r="M192" s="83" t="s">
        <v>209</v>
      </c>
      <c r="N192" s="313"/>
    </row>
    <row r="193" spans="2:18" ht="15" thickBot="1">
      <c r="G193" s="61"/>
      <c r="H193" s="61"/>
      <c r="J193" s="39">
        <v>137</v>
      </c>
      <c r="K193" s="39" t="s">
        <v>168</v>
      </c>
      <c r="L193" s="25">
        <v>75</v>
      </c>
      <c r="M193" s="82">
        <v>70</v>
      </c>
      <c r="N193" s="313">
        <f t="shared" si="14"/>
        <v>73.429999999999993</v>
      </c>
    </row>
    <row r="194" spans="2:18">
      <c r="G194" s="61"/>
      <c r="H194" s="61"/>
    </row>
    <row r="195" spans="2:18" ht="15" thickBot="1">
      <c r="B195" s="1" t="s">
        <v>1</v>
      </c>
      <c r="G195" s="84" t="s">
        <v>228</v>
      </c>
      <c r="H195" s="61"/>
      <c r="I195" s="1" t="s">
        <v>745</v>
      </c>
      <c r="J195" s="1" t="s">
        <v>233</v>
      </c>
      <c r="M195" s="1"/>
      <c r="N195" s="1"/>
      <c r="O195" s="1"/>
      <c r="P195" s="1"/>
      <c r="Q195" s="1"/>
      <c r="R195" s="1"/>
    </row>
    <row r="196" spans="2:18">
      <c r="G196" s="61"/>
      <c r="H196" s="61"/>
      <c r="I196" s="1" t="s">
        <v>746</v>
      </c>
      <c r="J196" s="1" t="s">
        <v>234</v>
      </c>
      <c r="M196" s="1"/>
      <c r="N196" s="1"/>
      <c r="O196" s="1"/>
      <c r="P196" s="1"/>
      <c r="Q196" s="1"/>
      <c r="R196" s="1"/>
    </row>
    <row r="197" spans="2:18" ht="15" thickBot="1">
      <c r="B197" s="1" t="s">
        <v>2</v>
      </c>
      <c r="G197" s="84" t="s">
        <v>229</v>
      </c>
      <c r="H197" s="61"/>
      <c r="I197" s="1" t="s">
        <v>747</v>
      </c>
    </row>
    <row r="198" spans="2:18">
      <c r="G198" s="61"/>
      <c r="H198" s="61"/>
    </row>
    <row r="199" spans="2:18" ht="15" thickBot="1">
      <c r="B199" s="3" t="s">
        <v>3</v>
      </c>
      <c r="F199" s="1"/>
      <c r="G199" s="84">
        <v>73457</v>
      </c>
      <c r="H199" s="64">
        <f>93593+4372</f>
        <v>97965</v>
      </c>
      <c r="I199" s="313">
        <f t="shared" ref="I199" si="15">H199*1.049</f>
        <v>102765.28499999999</v>
      </c>
    </row>
    <row r="200" spans="2:18" ht="15" thickBot="1">
      <c r="B200" s="4" t="s">
        <v>6</v>
      </c>
      <c r="G200" s="61"/>
      <c r="H200" s="61"/>
      <c r="J200" s="3" t="s">
        <v>4</v>
      </c>
      <c r="K200" s="76" t="s">
        <v>204</v>
      </c>
      <c r="L200" t="s">
        <v>5</v>
      </c>
    </row>
    <row r="201" spans="2:18" ht="15" thickBot="1">
      <c r="B201" s="3" t="s">
        <v>8</v>
      </c>
      <c r="G201" s="84">
        <v>73342</v>
      </c>
      <c r="H201" s="64">
        <f>98010+7397</f>
        <v>105407</v>
      </c>
      <c r="I201" s="313">
        <f>H201*1.049+2371</f>
        <v>112942.943</v>
      </c>
      <c r="J201" s="4" t="s">
        <v>7</v>
      </c>
    </row>
    <row r="202" spans="2:18">
      <c r="B202" s="4" t="s">
        <v>10</v>
      </c>
      <c r="G202" s="61"/>
      <c r="H202" s="61"/>
      <c r="J202" s="3"/>
    </row>
    <row r="203" spans="2:18" ht="15" thickBot="1">
      <c r="B203" s="3" t="s">
        <v>11</v>
      </c>
      <c r="G203" s="84" t="s">
        <v>204</v>
      </c>
      <c r="H203" s="61"/>
      <c r="J203" s="4"/>
    </row>
    <row r="204" spans="2:18" ht="15" thickBot="1">
      <c r="B204" s="4" t="s">
        <v>7</v>
      </c>
      <c r="G204" s="61"/>
      <c r="H204" s="61"/>
      <c r="J204" s="3" t="s">
        <v>12</v>
      </c>
      <c r="K204" s="76" t="s">
        <v>204</v>
      </c>
      <c r="L204" t="s">
        <v>5</v>
      </c>
    </row>
    <row r="205" spans="2:18" ht="15" thickBot="1">
      <c r="B205" s="3" t="s">
        <v>14</v>
      </c>
      <c r="G205" s="84" t="s">
        <v>204</v>
      </c>
      <c r="H205" s="61"/>
      <c r="J205" s="4" t="s">
        <v>13</v>
      </c>
    </row>
    <row r="206" spans="2:18">
      <c r="B206" s="4" t="s">
        <v>7</v>
      </c>
      <c r="G206" s="61"/>
      <c r="H206" s="61"/>
    </row>
    <row r="207" spans="2:18" ht="15" thickBot="1">
      <c r="B207" s="3" t="s">
        <v>15</v>
      </c>
      <c r="G207" s="84" t="s">
        <v>204</v>
      </c>
      <c r="H207" s="61"/>
    </row>
    <row r="208" spans="2:18">
      <c r="B208" s="4" t="s">
        <v>7</v>
      </c>
      <c r="G208" s="61"/>
      <c r="H208" s="61"/>
    </row>
    <row r="209" spans="1:19" ht="15" thickBot="1">
      <c r="B209" s="3" t="s">
        <v>16</v>
      </c>
      <c r="G209" s="84" t="s">
        <v>204</v>
      </c>
      <c r="H209" s="61"/>
    </row>
    <row r="210" spans="1:19">
      <c r="B210" s="4" t="s">
        <v>13</v>
      </c>
      <c r="G210" s="61"/>
      <c r="H210" s="61"/>
    </row>
    <row r="211" spans="1:19" ht="15" thickBot="1">
      <c r="B211" s="3" t="s">
        <v>17</v>
      </c>
      <c r="G211" s="84" t="s">
        <v>204</v>
      </c>
      <c r="H211" s="61"/>
    </row>
    <row r="212" spans="1:19">
      <c r="B212" s="4" t="s">
        <v>13</v>
      </c>
      <c r="G212" s="61"/>
      <c r="H212" s="61"/>
    </row>
    <row r="213" spans="1:19">
      <c r="B213" s="4"/>
      <c r="G213" s="61"/>
      <c r="H213" s="61"/>
      <c r="R213" s="18"/>
    </row>
    <row r="214" spans="1:19">
      <c r="B214" s="3" t="s">
        <v>239</v>
      </c>
      <c r="G214" s="61"/>
      <c r="H214" s="61" t="s">
        <v>715</v>
      </c>
    </row>
    <row r="215" spans="1:19" ht="15" thickBot="1">
      <c r="A215">
        <v>1</v>
      </c>
      <c r="B215" s="4" t="s">
        <v>23</v>
      </c>
      <c r="G215" s="84">
        <v>1365</v>
      </c>
      <c r="H215" s="85">
        <v>2070</v>
      </c>
      <c r="I215" s="313">
        <f t="shared" ref="I215:I273" si="16">H215*1.049</f>
        <v>2171.4299999999998</v>
      </c>
      <c r="M215" t="s">
        <v>715</v>
      </c>
    </row>
    <row r="216" spans="1:19" ht="15" thickBot="1">
      <c r="A216">
        <f>A215+1</f>
        <v>2</v>
      </c>
      <c r="B216" s="4" t="s">
        <v>26</v>
      </c>
      <c r="G216" s="84">
        <v>1045</v>
      </c>
      <c r="H216" s="85">
        <v>1670</v>
      </c>
      <c r="I216" s="313">
        <f t="shared" si="16"/>
        <v>1751.83</v>
      </c>
      <c r="J216" s="39">
        <f>(A277+1)</f>
        <v>64</v>
      </c>
      <c r="K216" s="59" t="s">
        <v>24</v>
      </c>
      <c r="L216" s="25">
        <v>8910</v>
      </c>
      <c r="M216" s="82">
        <v>9355</v>
      </c>
      <c r="N216" s="313">
        <f t="shared" ref="N216:N279" si="17">M216*1.049</f>
        <v>9813.3949999999986</v>
      </c>
      <c r="O216">
        <v>138</v>
      </c>
      <c r="P216" t="s">
        <v>25</v>
      </c>
      <c r="Q216" s="17">
        <v>6600</v>
      </c>
      <c r="R216" s="51">
        <v>6522</v>
      </c>
      <c r="S216" s="313">
        <f t="shared" ref="S216:S220" si="18">R216*1.049</f>
        <v>6841.5779999999995</v>
      </c>
    </row>
    <row r="217" spans="1:19" ht="15" thickBot="1">
      <c r="A217">
        <f t="shared" ref="A217:A277" si="19">A216+1</f>
        <v>3</v>
      </c>
      <c r="B217" s="4" t="s">
        <v>29</v>
      </c>
      <c r="G217" s="84">
        <v>690</v>
      </c>
      <c r="H217" s="85">
        <v>995</v>
      </c>
      <c r="I217" s="313">
        <f t="shared" si="16"/>
        <v>1043.7549999999999</v>
      </c>
      <c r="J217" s="39">
        <f t="shared" ref="J217:J280" si="20">(J216+1)</f>
        <v>65</v>
      </c>
      <c r="K217" s="39" t="s">
        <v>27</v>
      </c>
      <c r="L217" s="25">
        <v>4850</v>
      </c>
      <c r="M217" s="83" t="s">
        <v>209</v>
      </c>
      <c r="N217" s="313"/>
      <c r="O217">
        <v>139</v>
      </c>
      <c r="P217" t="s">
        <v>28</v>
      </c>
      <c r="Q217" s="17">
        <v>15600</v>
      </c>
      <c r="R217" s="51">
        <v>7990</v>
      </c>
      <c r="S217" s="313">
        <f t="shared" si="18"/>
        <v>8381.51</v>
      </c>
    </row>
    <row r="218" spans="1:19" ht="15" thickBot="1">
      <c r="A218">
        <f t="shared" si="19"/>
        <v>4</v>
      </c>
      <c r="B218" s="4" t="s">
        <v>34</v>
      </c>
      <c r="G218" s="84">
        <v>735</v>
      </c>
      <c r="H218" s="85">
        <v>800</v>
      </c>
      <c r="I218" s="313">
        <f t="shared" si="16"/>
        <v>839.19999999999993</v>
      </c>
      <c r="J218" s="39">
        <f t="shared" si="20"/>
        <v>66</v>
      </c>
      <c r="K218" s="59" t="s">
        <v>30</v>
      </c>
      <c r="L218" s="25">
        <v>1010</v>
      </c>
      <c r="M218" s="82">
        <v>1140</v>
      </c>
      <c r="N218" s="313">
        <f t="shared" si="17"/>
        <v>1195.8599999999999</v>
      </c>
      <c r="O218">
        <v>140</v>
      </c>
      <c r="P218" s="4" t="s">
        <v>207</v>
      </c>
      <c r="Q218" s="17" t="s">
        <v>208</v>
      </c>
      <c r="R218" s="51" t="s">
        <v>208</v>
      </c>
      <c r="S218" s="313"/>
    </row>
    <row r="219" spans="1:19" ht="15" thickBot="1">
      <c r="A219">
        <f t="shared" si="19"/>
        <v>5</v>
      </c>
      <c r="B219" s="4" t="s">
        <v>37</v>
      </c>
      <c r="G219" s="84">
        <v>1170</v>
      </c>
      <c r="H219" s="85">
        <v>1290</v>
      </c>
      <c r="I219" s="313">
        <f t="shared" si="16"/>
        <v>1353.2099999999998</v>
      </c>
      <c r="J219" s="39">
        <f t="shared" si="20"/>
        <v>67</v>
      </c>
      <c r="K219" s="59" t="s">
        <v>35</v>
      </c>
      <c r="L219" s="25">
        <v>2900</v>
      </c>
      <c r="M219" s="82">
        <v>3393</v>
      </c>
      <c r="N219" s="313">
        <f t="shared" si="17"/>
        <v>3559.2569999999996</v>
      </c>
      <c r="O219">
        <v>140</v>
      </c>
      <c r="P219" s="4" t="s">
        <v>31</v>
      </c>
      <c r="Q219" s="17">
        <v>1130</v>
      </c>
      <c r="R219" s="52">
        <v>1325</v>
      </c>
      <c r="S219" s="313">
        <f t="shared" si="18"/>
        <v>1389.925</v>
      </c>
    </row>
    <row r="220" spans="1:19" ht="15" thickBot="1">
      <c r="A220">
        <f t="shared" si="19"/>
        <v>6</v>
      </c>
      <c r="B220" s="4" t="s">
        <v>39</v>
      </c>
      <c r="G220" s="84">
        <v>1830</v>
      </c>
      <c r="H220" s="85">
        <v>1930</v>
      </c>
      <c r="I220" s="313">
        <f t="shared" si="16"/>
        <v>2024.57</v>
      </c>
      <c r="J220" s="39">
        <f t="shared" si="20"/>
        <v>68</v>
      </c>
      <c r="K220" s="39" t="s">
        <v>38</v>
      </c>
      <c r="L220" s="25">
        <v>9500</v>
      </c>
      <c r="M220" s="82">
        <v>12240</v>
      </c>
      <c r="N220" s="313">
        <f t="shared" si="17"/>
        <v>12839.759999999998</v>
      </c>
      <c r="O220">
        <v>141</v>
      </c>
      <c r="P220" s="19" t="s">
        <v>36</v>
      </c>
      <c r="Q220" s="17">
        <v>365</v>
      </c>
      <c r="R220" s="51">
        <v>425</v>
      </c>
      <c r="S220" s="313">
        <f t="shared" si="18"/>
        <v>445.82499999999999</v>
      </c>
    </row>
    <row r="221" spans="1:19" ht="15" thickBot="1">
      <c r="A221">
        <f t="shared" si="19"/>
        <v>7</v>
      </c>
      <c r="B221" s="4" t="s">
        <v>41</v>
      </c>
      <c r="G221" s="84">
        <v>1330</v>
      </c>
      <c r="H221" s="85">
        <v>1660</v>
      </c>
      <c r="I221" s="313">
        <f t="shared" si="16"/>
        <v>1741.34</v>
      </c>
      <c r="J221" s="39">
        <f t="shared" si="20"/>
        <v>69</v>
      </c>
      <c r="K221" s="59" t="s">
        <v>40</v>
      </c>
      <c r="L221" s="25" t="s">
        <v>209</v>
      </c>
      <c r="M221" s="83">
        <v>11400</v>
      </c>
      <c r="N221" s="313">
        <f t="shared" si="17"/>
        <v>11958.599999999999</v>
      </c>
    </row>
    <row r="222" spans="1:19" ht="15" thickBot="1">
      <c r="A222">
        <f t="shared" si="19"/>
        <v>8</v>
      </c>
      <c r="B222" s="4" t="s">
        <v>43</v>
      </c>
      <c r="G222" s="84">
        <v>1545</v>
      </c>
      <c r="H222" s="85">
        <v>1990</v>
      </c>
      <c r="I222" s="313">
        <f t="shared" si="16"/>
        <v>2087.5099999999998</v>
      </c>
      <c r="J222" s="39">
        <f t="shared" si="20"/>
        <v>70</v>
      </c>
      <c r="K222" s="59" t="s">
        <v>42</v>
      </c>
      <c r="L222" s="25">
        <v>1065</v>
      </c>
      <c r="M222" s="82">
        <v>1210</v>
      </c>
      <c r="N222" s="313">
        <f t="shared" si="17"/>
        <v>1269.29</v>
      </c>
    </row>
    <row r="223" spans="1:19" ht="15" thickBot="1">
      <c r="A223">
        <f t="shared" si="19"/>
        <v>9</v>
      </c>
      <c r="B223" s="4" t="s">
        <v>45</v>
      </c>
      <c r="G223" s="84">
        <v>-120</v>
      </c>
      <c r="H223" s="85">
        <v>-120</v>
      </c>
      <c r="I223" s="313">
        <f t="shared" si="16"/>
        <v>-125.88</v>
      </c>
      <c r="J223" s="39">
        <f t="shared" si="20"/>
        <v>71</v>
      </c>
      <c r="K223" s="59" t="s">
        <v>44</v>
      </c>
      <c r="L223" s="25">
        <v>1110</v>
      </c>
      <c r="M223" s="88">
        <v>655</v>
      </c>
      <c r="N223" s="313">
        <f t="shared" si="17"/>
        <v>687.09499999999991</v>
      </c>
    </row>
    <row r="224" spans="1:19" ht="15" thickBot="1">
      <c r="A224">
        <f t="shared" si="19"/>
        <v>10</v>
      </c>
      <c r="B224" s="4" t="s">
        <v>47</v>
      </c>
      <c r="G224" s="84">
        <v>505</v>
      </c>
      <c r="H224" s="85">
        <v>1185</v>
      </c>
      <c r="I224" s="313">
        <f t="shared" si="16"/>
        <v>1243.0649999999998</v>
      </c>
      <c r="J224" s="39">
        <f t="shared" si="20"/>
        <v>72</v>
      </c>
      <c r="K224" s="59" t="s">
        <v>46</v>
      </c>
      <c r="L224" s="25">
        <v>260</v>
      </c>
      <c r="M224" s="88">
        <v>300</v>
      </c>
      <c r="N224" s="313">
        <f t="shared" si="17"/>
        <v>314.7</v>
      </c>
    </row>
    <row r="225" spans="1:14" ht="15" thickBot="1">
      <c r="A225">
        <f t="shared" si="19"/>
        <v>11</v>
      </c>
      <c r="B225" t="s">
        <v>211</v>
      </c>
      <c r="G225" s="84">
        <v>505</v>
      </c>
      <c r="H225" s="85">
        <v>1185</v>
      </c>
      <c r="I225" s="313">
        <f t="shared" si="16"/>
        <v>1243.0649999999998</v>
      </c>
      <c r="J225" s="39">
        <f t="shared" si="20"/>
        <v>73</v>
      </c>
      <c r="K225" s="59" t="s">
        <v>48</v>
      </c>
      <c r="L225" s="25">
        <v>870</v>
      </c>
      <c r="M225" s="88">
        <v>1100</v>
      </c>
      <c r="N225" s="313">
        <f t="shared" si="17"/>
        <v>1153.8999999999999</v>
      </c>
    </row>
    <row r="226" spans="1:14" ht="15" thickBot="1">
      <c r="A226">
        <f t="shared" si="19"/>
        <v>12</v>
      </c>
      <c r="B226" s="4" t="s">
        <v>51</v>
      </c>
      <c r="E226" s="1"/>
      <c r="G226" s="84">
        <v>505</v>
      </c>
      <c r="H226" s="85">
        <v>1185</v>
      </c>
      <c r="I226" s="313">
        <f t="shared" si="16"/>
        <v>1243.0649999999998</v>
      </c>
      <c r="J226" s="39">
        <f t="shared" si="20"/>
        <v>74</v>
      </c>
      <c r="K226" s="59" t="s">
        <v>50</v>
      </c>
      <c r="L226" s="25">
        <v>160</v>
      </c>
      <c r="M226" s="88">
        <v>150</v>
      </c>
      <c r="N226" s="313">
        <f t="shared" si="17"/>
        <v>157.35</v>
      </c>
    </row>
    <row r="227" spans="1:14" ht="15" thickBot="1">
      <c r="A227">
        <f t="shared" si="19"/>
        <v>13</v>
      </c>
      <c r="B227" s="4" t="s">
        <v>53</v>
      </c>
      <c r="E227" s="1"/>
      <c r="G227" s="84" t="s">
        <v>208</v>
      </c>
      <c r="H227" s="86" t="s">
        <v>208</v>
      </c>
      <c r="I227" s="313"/>
      <c r="J227" s="39">
        <f t="shared" si="20"/>
        <v>75</v>
      </c>
      <c r="K227" s="59" t="s">
        <v>52</v>
      </c>
      <c r="L227" s="25">
        <v>660</v>
      </c>
      <c r="M227" s="82">
        <v>740</v>
      </c>
      <c r="N227" s="313">
        <f t="shared" si="17"/>
        <v>776.26</v>
      </c>
    </row>
    <row r="228" spans="1:14" ht="15" thickBot="1">
      <c r="A228">
        <f t="shared" si="19"/>
        <v>14</v>
      </c>
      <c r="B228" s="4" t="s">
        <v>55</v>
      </c>
      <c r="E228" s="1"/>
      <c r="G228" s="84">
        <v>755</v>
      </c>
      <c r="H228" s="85">
        <v>585</v>
      </c>
      <c r="I228" s="313">
        <f t="shared" si="16"/>
        <v>613.66499999999996</v>
      </c>
      <c r="J228" s="39">
        <f t="shared" si="20"/>
        <v>76</v>
      </c>
      <c r="K228" s="59" t="s">
        <v>54</v>
      </c>
      <c r="L228" s="25" t="s">
        <v>192</v>
      </c>
      <c r="M228" s="83" t="s">
        <v>208</v>
      </c>
      <c r="N228" s="313"/>
    </row>
    <row r="229" spans="1:14" ht="15" thickBot="1">
      <c r="A229">
        <f t="shared" si="19"/>
        <v>15</v>
      </c>
      <c r="B229" s="4" t="s">
        <v>58</v>
      </c>
      <c r="G229" s="84">
        <v>-500</v>
      </c>
      <c r="H229" s="86" t="s">
        <v>32</v>
      </c>
      <c r="I229" s="313"/>
      <c r="J229" s="39">
        <f t="shared" si="20"/>
        <v>77</v>
      </c>
      <c r="K229" s="59" t="s">
        <v>56</v>
      </c>
      <c r="L229" s="25" t="s">
        <v>208</v>
      </c>
      <c r="M229" s="89" t="s">
        <v>209</v>
      </c>
      <c r="N229" s="313"/>
    </row>
    <row r="230" spans="1:14" ht="15" thickBot="1">
      <c r="A230">
        <f t="shared" si="19"/>
        <v>16</v>
      </c>
      <c r="B230" s="4" t="s">
        <v>60</v>
      </c>
      <c r="G230" s="84">
        <v>60</v>
      </c>
      <c r="H230" s="85">
        <v>75</v>
      </c>
      <c r="I230" s="313">
        <f t="shared" si="16"/>
        <v>78.674999999999997</v>
      </c>
      <c r="J230" s="39">
        <f t="shared" si="20"/>
        <v>78</v>
      </c>
      <c r="K230" s="59" t="s">
        <v>59</v>
      </c>
      <c r="L230" s="25">
        <v>400</v>
      </c>
      <c r="M230" s="88">
        <v>420</v>
      </c>
      <c r="N230" s="313">
        <f t="shared" si="17"/>
        <v>440.58</v>
      </c>
    </row>
    <row r="231" spans="1:14" ht="15" thickBot="1">
      <c r="A231">
        <f t="shared" si="19"/>
        <v>17</v>
      </c>
      <c r="B231" t="s">
        <v>62</v>
      </c>
      <c r="E231" s="1"/>
      <c r="G231" s="84">
        <v>60</v>
      </c>
      <c r="H231" s="85">
        <v>75</v>
      </c>
      <c r="I231" s="313">
        <f t="shared" si="16"/>
        <v>78.674999999999997</v>
      </c>
      <c r="J231" s="39">
        <f t="shared" si="20"/>
        <v>79</v>
      </c>
      <c r="K231" s="59" t="s">
        <v>61</v>
      </c>
      <c r="L231" s="25">
        <v>2500</v>
      </c>
      <c r="M231" s="88">
        <v>2625</v>
      </c>
      <c r="N231" s="313">
        <f t="shared" si="17"/>
        <v>2753.625</v>
      </c>
    </row>
    <row r="232" spans="1:14" ht="15" thickBot="1">
      <c r="A232">
        <f t="shared" si="19"/>
        <v>18</v>
      </c>
      <c r="B232" t="s">
        <v>64</v>
      </c>
      <c r="E232" s="1"/>
      <c r="G232" s="84">
        <v>90</v>
      </c>
      <c r="H232" s="85">
        <v>135</v>
      </c>
      <c r="I232" s="313">
        <f t="shared" si="16"/>
        <v>141.61499999999998</v>
      </c>
      <c r="J232" s="39">
        <f t="shared" si="20"/>
        <v>80</v>
      </c>
      <c r="K232" s="59" t="s">
        <v>63</v>
      </c>
      <c r="L232" s="25">
        <v>3100</v>
      </c>
      <c r="M232" s="88">
        <v>3255</v>
      </c>
      <c r="N232" s="313">
        <f t="shared" si="17"/>
        <v>3414.4949999999999</v>
      </c>
    </row>
    <row r="233" spans="1:14" ht="15" thickBot="1">
      <c r="A233">
        <f t="shared" si="19"/>
        <v>19</v>
      </c>
      <c r="B233" t="s">
        <v>66</v>
      </c>
      <c r="E233" s="1"/>
      <c r="G233" s="84">
        <v>70</v>
      </c>
      <c r="H233" s="85">
        <v>95</v>
      </c>
      <c r="I233" s="313">
        <f t="shared" si="16"/>
        <v>99.654999999999987</v>
      </c>
      <c r="J233" s="39">
        <f t="shared" si="20"/>
        <v>81</v>
      </c>
      <c r="K233" s="59" t="s">
        <v>212</v>
      </c>
      <c r="L233" s="25">
        <v>150</v>
      </c>
      <c r="M233" s="89" t="s">
        <v>209</v>
      </c>
      <c r="N233" s="313"/>
    </row>
    <row r="234" spans="1:14" ht="15" thickBot="1">
      <c r="A234">
        <f t="shared" si="19"/>
        <v>20</v>
      </c>
      <c r="B234" t="s">
        <v>68</v>
      </c>
      <c r="E234" s="1"/>
      <c r="G234" s="84">
        <v>75</v>
      </c>
      <c r="H234" s="85">
        <v>125</v>
      </c>
      <c r="I234" s="313">
        <f t="shared" si="16"/>
        <v>131.125</v>
      </c>
      <c r="J234" s="39">
        <f t="shared" si="20"/>
        <v>82</v>
      </c>
      <c r="K234" s="59" t="s">
        <v>213</v>
      </c>
      <c r="L234" s="25">
        <v>120</v>
      </c>
      <c r="M234" s="82">
        <v>130</v>
      </c>
      <c r="N234" s="313">
        <f t="shared" si="17"/>
        <v>136.37</v>
      </c>
    </row>
    <row r="235" spans="1:14" ht="15" thickBot="1">
      <c r="A235">
        <f t="shared" si="19"/>
        <v>21</v>
      </c>
      <c r="B235" t="s">
        <v>70</v>
      </c>
      <c r="E235" s="1"/>
      <c r="G235" s="84">
        <v>80</v>
      </c>
      <c r="H235" s="85">
        <v>150</v>
      </c>
      <c r="I235" s="313">
        <f t="shared" si="16"/>
        <v>157.35</v>
      </c>
      <c r="J235" s="39">
        <f t="shared" si="20"/>
        <v>83</v>
      </c>
      <c r="K235" s="59" t="s">
        <v>69</v>
      </c>
      <c r="L235" s="25">
        <v>-100</v>
      </c>
      <c r="M235" s="83" t="s">
        <v>209</v>
      </c>
      <c r="N235" s="313"/>
    </row>
    <row r="236" spans="1:14" ht="15" thickBot="1">
      <c r="A236">
        <f t="shared" si="19"/>
        <v>22</v>
      </c>
      <c r="B236" t="s">
        <v>72</v>
      </c>
      <c r="E236" s="1"/>
      <c r="G236" s="84">
        <v>50</v>
      </c>
      <c r="H236" s="85">
        <v>50</v>
      </c>
      <c r="I236" s="313">
        <f t="shared" si="16"/>
        <v>52.449999999999996</v>
      </c>
      <c r="J236" s="39">
        <f t="shared" si="20"/>
        <v>84</v>
      </c>
      <c r="K236" s="59" t="s">
        <v>71</v>
      </c>
      <c r="L236" s="25">
        <v>285</v>
      </c>
      <c r="M236" s="82">
        <v>310</v>
      </c>
      <c r="N236" s="313">
        <f t="shared" si="17"/>
        <v>325.19</v>
      </c>
    </row>
    <row r="237" spans="1:14" ht="15" thickBot="1">
      <c r="A237">
        <f t="shared" si="19"/>
        <v>23</v>
      </c>
      <c r="B237" t="s">
        <v>74</v>
      </c>
      <c r="E237" s="1"/>
      <c r="G237" s="84">
        <v>100</v>
      </c>
      <c r="H237" s="85">
        <v>120</v>
      </c>
      <c r="I237" s="313">
        <f t="shared" si="16"/>
        <v>125.88</v>
      </c>
      <c r="J237" s="39">
        <f t="shared" si="20"/>
        <v>85</v>
      </c>
      <c r="K237" s="59" t="s">
        <v>73</v>
      </c>
      <c r="L237" s="25">
        <v>1060</v>
      </c>
      <c r="M237" s="82">
        <v>1115</v>
      </c>
      <c r="N237" s="313">
        <f t="shared" si="17"/>
        <v>1169.635</v>
      </c>
    </row>
    <row r="238" spans="1:14" ht="15" thickBot="1">
      <c r="A238">
        <f t="shared" si="19"/>
        <v>24</v>
      </c>
      <c r="B238" t="s">
        <v>76</v>
      </c>
      <c r="E238" s="1"/>
      <c r="G238" s="84">
        <v>1600</v>
      </c>
      <c r="H238" s="86" t="s">
        <v>209</v>
      </c>
      <c r="I238" s="313"/>
      <c r="J238" s="39">
        <f t="shared" si="20"/>
        <v>86</v>
      </c>
      <c r="K238" s="59" t="s">
        <v>75</v>
      </c>
      <c r="L238" s="25">
        <v>80</v>
      </c>
      <c r="M238" s="82">
        <v>85</v>
      </c>
      <c r="N238" s="313">
        <f t="shared" si="17"/>
        <v>89.164999999999992</v>
      </c>
    </row>
    <row r="239" spans="1:14" ht="15" thickBot="1">
      <c r="A239">
        <f t="shared" si="19"/>
        <v>25</v>
      </c>
      <c r="B239" s="4" t="s">
        <v>79</v>
      </c>
      <c r="E239" s="1"/>
      <c r="G239" s="84">
        <v>505</v>
      </c>
      <c r="H239" s="85">
        <v>530</v>
      </c>
      <c r="I239" s="313">
        <f t="shared" si="16"/>
        <v>555.96999999999991</v>
      </c>
      <c r="J239" s="39">
        <f t="shared" si="20"/>
        <v>87</v>
      </c>
      <c r="K239" s="59" t="s">
        <v>78</v>
      </c>
      <c r="L239" s="25">
        <v>460</v>
      </c>
      <c r="M239" s="82">
        <v>485</v>
      </c>
      <c r="N239" s="313">
        <f t="shared" si="17"/>
        <v>508.76499999999999</v>
      </c>
    </row>
    <row r="240" spans="1:14" ht="15" thickBot="1">
      <c r="A240">
        <f t="shared" si="19"/>
        <v>26</v>
      </c>
      <c r="B240" s="4" t="s">
        <v>81</v>
      </c>
      <c r="G240" s="84">
        <v>505</v>
      </c>
      <c r="H240" s="85">
        <v>530</v>
      </c>
      <c r="I240" s="313">
        <f t="shared" si="16"/>
        <v>555.96999999999991</v>
      </c>
      <c r="J240" s="39">
        <f t="shared" si="20"/>
        <v>88</v>
      </c>
      <c r="K240" s="59" t="s">
        <v>80</v>
      </c>
      <c r="L240" s="25">
        <v>60</v>
      </c>
      <c r="M240" s="82">
        <v>65</v>
      </c>
      <c r="N240" s="313">
        <f t="shared" si="17"/>
        <v>68.185000000000002</v>
      </c>
    </row>
    <row r="241" spans="1:18" ht="15" thickBot="1">
      <c r="A241">
        <f t="shared" si="19"/>
        <v>27</v>
      </c>
      <c r="B241" s="4" t="s">
        <v>83</v>
      </c>
      <c r="G241" s="84">
        <v>150</v>
      </c>
      <c r="H241" s="85">
        <v>250</v>
      </c>
      <c r="I241" s="313">
        <f t="shared" si="16"/>
        <v>262.25</v>
      </c>
      <c r="J241" s="39">
        <f t="shared" si="20"/>
        <v>89</v>
      </c>
      <c r="K241" s="59" t="s">
        <v>82</v>
      </c>
      <c r="L241" s="25">
        <v>150</v>
      </c>
      <c r="M241" s="82">
        <v>160</v>
      </c>
      <c r="N241" s="313">
        <f t="shared" si="17"/>
        <v>167.83999999999997</v>
      </c>
    </row>
    <row r="242" spans="1:18" ht="15" thickBot="1">
      <c r="A242">
        <f t="shared" si="19"/>
        <v>28</v>
      </c>
      <c r="B242" s="4" t="s">
        <v>85</v>
      </c>
      <c r="G242" s="84">
        <v>505</v>
      </c>
      <c r="H242" s="85">
        <v>705</v>
      </c>
      <c r="I242" s="313">
        <f t="shared" si="16"/>
        <v>739.54499999999996</v>
      </c>
      <c r="J242" s="39">
        <f t="shared" si="20"/>
        <v>90</v>
      </c>
      <c r="K242" s="59" t="s">
        <v>84</v>
      </c>
      <c r="L242" s="25">
        <v>75</v>
      </c>
      <c r="M242" s="82">
        <v>100</v>
      </c>
      <c r="N242" s="313">
        <f t="shared" si="17"/>
        <v>104.89999999999999</v>
      </c>
    </row>
    <row r="243" spans="1:18" ht="15" thickBot="1">
      <c r="A243">
        <f t="shared" si="19"/>
        <v>29</v>
      </c>
      <c r="B243" s="4" t="s">
        <v>87</v>
      </c>
      <c r="G243" s="84">
        <v>530</v>
      </c>
      <c r="H243" s="85">
        <v>745</v>
      </c>
      <c r="I243" s="313">
        <f t="shared" si="16"/>
        <v>781.505</v>
      </c>
      <c r="J243" s="39">
        <f t="shared" si="20"/>
        <v>91</v>
      </c>
      <c r="K243" s="59" t="s">
        <v>86</v>
      </c>
      <c r="L243" s="25">
        <v>800</v>
      </c>
      <c r="M243" s="82">
        <v>1055</v>
      </c>
      <c r="N243" s="313">
        <f t="shared" si="17"/>
        <v>1106.6949999999999</v>
      </c>
    </row>
    <row r="244" spans="1:18" ht="15" thickBot="1">
      <c r="A244">
        <f t="shared" si="19"/>
        <v>30</v>
      </c>
      <c r="B244" s="4" t="s">
        <v>89</v>
      </c>
      <c r="G244" s="84">
        <v>775</v>
      </c>
      <c r="H244" s="85">
        <v>1080</v>
      </c>
      <c r="I244" s="313">
        <f t="shared" si="16"/>
        <v>1132.9199999999998</v>
      </c>
      <c r="J244" s="39">
        <f t="shared" si="20"/>
        <v>92</v>
      </c>
      <c r="K244" s="59" t="s">
        <v>88</v>
      </c>
      <c r="L244" s="25">
        <v>525</v>
      </c>
      <c r="M244" s="82">
        <v>800</v>
      </c>
      <c r="N244" s="313">
        <f t="shared" si="17"/>
        <v>839.19999999999993</v>
      </c>
    </row>
    <row r="245" spans="1:18" ht="15" thickBot="1">
      <c r="A245">
        <f t="shared" si="19"/>
        <v>31</v>
      </c>
      <c r="B245" t="s">
        <v>91</v>
      </c>
      <c r="G245" s="84">
        <v>-100</v>
      </c>
      <c r="H245" s="85">
        <v>-100</v>
      </c>
      <c r="I245" s="313">
        <f t="shared" si="16"/>
        <v>-104.89999999999999</v>
      </c>
      <c r="J245" s="39">
        <f t="shared" si="20"/>
        <v>93</v>
      </c>
      <c r="K245" s="39" t="s">
        <v>90</v>
      </c>
      <c r="L245" s="25">
        <v>350</v>
      </c>
      <c r="M245" s="82">
        <v>400</v>
      </c>
      <c r="N245" s="313">
        <f t="shared" si="17"/>
        <v>419.59999999999997</v>
      </c>
    </row>
    <row r="246" spans="1:18" ht="15" thickBot="1">
      <c r="A246">
        <f t="shared" si="19"/>
        <v>32</v>
      </c>
      <c r="B246" t="s">
        <v>93</v>
      </c>
      <c r="G246" s="84">
        <v>-100</v>
      </c>
      <c r="H246" s="85">
        <v>-100</v>
      </c>
      <c r="I246" s="313">
        <f t="shared" si="16"/>
        <v>-104.89999999999999</v>
      </c>
      <c r="J246" s="39">
        <f t="shared" si="20"/>
        <v>94</v>
      </c>
      <c r="K246" s="59" t="s">
        <v>92</v>
      </c>
      <c r="L246" s="25">
        <v>450</v>
      </c>
      <c r="M246" s="82">
        <v>495</v>
      </c>
      <c r="N246" s="313">
        <f t="shared" si="17"/>
        <v>519.255</v>
      </c>
    </row>
    <row r="247" spans="1:18" ht="15" thickBot="1">
      <c r="A247">
        <f t="shared" si="19"/>
        <v>33</v>
      </c>
      <c r="B247" t="s">
        <v>95</v>
      </c>
      <c r="G247" s="84">
        <v>1600</v>
      </c>
      <c r="H247" s="85">
        <v>1920</v>
      </c>
      <c r="I247" s="313">
        <f t="shared" si="16"/>
        <v>2014.08</v>
      </c>
      <c r="J247" s="39">
        <f t="shared" si="20"/>
        <v>95</v>
      </c>
      <c r="K247" s="39" t="s">
        <v>94</v>
      </c>
      <c r="L247" s="25">
        <v>165</v>
      </c>
      <c r="M247" s="82">
        <v>182</v>
      </c>
      <c r="N247" s="313">
        <f t="shared" si="17"/>
        <v>190.91799999999998</v>
      </c>
    </row>
    <row r="248" spans="1:18" ht="15" thickBot="1">
      <c r="A248">
        <f t="shared" si="19"/>
        <v>34</v>
      </c>
      <c r="B248" t="s">
        <v>97</v>
      </c>
      <c r="G248" s="84">
        <v>2880</v>
      </c>
      <c r="H248" s="85">
        <v>3600</v>
      </c>
      <c r="I248" s="313">
        <f t="shared" si="16"/>
        <v>3776.3999999999996</v>
      </c>
      <c r="J248" s="39">
        <f t="shared" si="20"/>
        <v>96</v>
      </c>
      <c r="K248" s="39" t="s">
        <v>96</v>
      </c>
      <c r="L248" s="25">
        <v>4380</v>
      </c>
      <c r="M248" s="82">
        <v>4600</v>
      </c>
      <c r="N248" s="313">
        <f t="shared" si="17"/>
        <v>4825.3999999999996</v>
      </c>
    </row>
    <row r="249" spans="1:18" ht="15" thickBot="1">
      <c r="A249">
        <f t="shared" si="19"/>
        <v>35</v>
      </c>
      <c r="B249" t="s">
        <v>219</v>
      </c>
      <c r="G249" s="84" t="s">
        <v>209</v>
      </c>
      <c r="H249" s="86" t="s">
        <v>209</v>
      </c>
      <c r="I249" s="313"/>
      <c r="J249" s="39">
        <f t="shared" si="20"/>
        <v>97</v>
      </c>
      <c r="K249" s="39" t="s">
        <v>201</v>
      </c>
      <c r="L249" s="25"/>
      <c r="M249" s="82"/>
      <c r="N249" s="313">
        <f t="shared" si="17"/>
        <v>0</v>
      </c>
    </row>
    <row r="250" spans="1:18" ht="15" thickBot="1">
      <c r="A250">
        <f t="shared" si="19"/>
        <v>36</v>
      </c>
      <c r="B250" t="s">
        <v>101</v>
      </c>
      <c r="G250" s="84" t="s">
        <v>209</v>
      </c>
      <c r="H250" s="86" t="s">
        <v>209</v>
      </c>
      <c r="I250" s="313"/>
      <c r="J250" s="39">
        <f t="shared" si="20"/>
        <v>98</v>
      </c>
      <c r="K250" s="59" t="s">
        <v>100</v>
      </c>
      <c r="L250" s="25">
        <v>3005</v>
      </c>
      <c r="M250" s="82">
        <v>3155</v>
      </c>
      <c r="N250" s="313">
        <f t="shared" si="17"/>
        <v>3309.5949999999998</v>
      </c>
    </row>
    <row r="251" spans="1:18" ht="15" thickBot="1">
      <c r="A251">
        <f t="shared" si="19"/>
        <v>37</v>
      </c>
      <c r="B251" t="s">
        <v>103</v>
      </c>
      <c r="G251" s="84">
        <v>30</v>
      </c>
      <c r="H251" s="85">
        <v>30</v>
      </c>
      <c r="I251" s="313">
        <f t="shared" si="16"/>
        <v>31.47</v>
      </c>
      <c r="J251" s="39">
        <f t="shared" si="20"/>
        <v>99</v>
      </c>
      <c r="K251" s="59" t="s">
        <v>102</v>
      </c>
      <c r="L251" s="25">
        <v>6600</v>
      </c>
      <c r="M251" s="82">
        <v>7155</v>
      </c>
      <c r="N251" s="313">
        <f t="shared" si="17"/>
        <v>7505.5949999999993</v>
      </c>
      <c r="R251" s="4"/>
    </row>
    <row r="252" spans="1:18" ht="15" thickBot="1">
      <c r="A252">
        <f t="shared" si="19"/>
        <v>38</v>
      </c>
      <c r="B252" t="s">
        <v>105</v>
      </c>
      <c r="G252" s="84">
        <v>30</v>
      </c>
      <c r="H252" s="85">
        <v>30</v>
      </c>
      <c r="I252" s="313">
        <f t="shared" si="16"/>
        <v>31.47</v>
      </c>
      <c r="J252" s="39">
        <f t="shared" si="20"/>
        <v>100</v>
      </c>
      <c r="K252" s="59" t="s">
        <v>104</v>
      </c>
      <c r="L252" s="25">
        <v>8000</v>
      </c>
      <c r="M252" s="82">
        <v>8800</v>
      </c>
      <c r="N252" s="313">
        <f t="shared" si="17"/>
        <v>9231.1999999999989</v>
      </c>
      <c r="R252" s="4"/>
    </row>
    <row r="253" spans="1:18" ht="15" thickBot="1">
      <c r="A253">
        <f t="shared" si="19"/>
        <v>39</v>
      </c>
      <c r="B253" t="s">
        <v>107</v>
      </c>
      <c r="G253" s="84">
        <v>-10</v>
      </c>
      <c r="H253" s="85">
        <v>-10</v>
      </c>
      <c r="I253" s="313">
        <f t="shared" si="16"/>
        <v>-10.489999999999998</v>
      </c>
      <c r="J253" s="39">
        <f t="shared" si="20"/>
        <v>101</v>
      </c>
      <c r="K253" s="39" t="s">
        <v>106</v>
      </c>
      <c r="L253" s="25">
        <v>6640</v>
      </c>
      <c r="M253" s="82">
        <v>6640</v>
      </c>
      <c r="N253" s="313">
        <f t="shared" si="17"/>
        <v>6965.36</v>
      </c>
      <c r="O253" s="10"/>
      <c r="R253" s="4"/>
    </row>
    <row r="254" spans="1:18" ht="15" thickBot="1">
      <c r="A254">
        <f t="shared" si="19"/>
        <v>40</v>
      </c>
      <c r="B254" t="s">
        <v>109</v>
      </c>
      <c r="G254" s="84">
        <v>800</v>
      </c>
      <c r="H254" s="85">
        <v>800</v>
      </c>
      <c r="I254" s="313">
        <f t="shared" si="16"/>
        <v>839.19999999999993</v>
      </c>
      <c r="J254" s="39">
        <f t="shared" si="20"/>
        <v>102</v>
      </c>
      <c r="K254" s="59" t="s">
        <v>108</v>
      </c>
      <c r="L254" s="25" t="s">
        <v>57</v>
      </c>
      <c r="M254" s="83" t="s">
        <v>208</v>
      </c>
      <c r="N254" s="313"/>
      <c r="O254" s="11"/>
      <c r="R254" s="4"/>
    </row>
    <row r="255" spans="1:18" ht="15" thickBot="1">
      <c r="A255">
        <f t="shared" si="19"/>
        <v>41</v>
      </c>
      <c r="B255" t="s">
        <v>111</v>
      </c>
      <c r="G255" s="84">
        <v>1100</v>
      </c>
      <c r="H255" s="86" t="s">
        <v>209</v>
      </c>
      <c r="I255" s="313"/>
      <c r="J255" s="39">
        <f t="shared" si="20"/>
        <v>103</v>
      </c>
      <c r="K255" s="59" t="s">
        <v>110</v>
      </c>
      <c r="L255" s="25">
        <v>875</v>
      </c>
      <c r="M255" s="82">
        <v>875</v>
      </c>
      <c r="N255" s="313">
        <f t="shared" si="17"/>
        <v>917.87499999999989</v>
      </c>
      <c r="O255" s="10"/>
      <c r="R255" s="4"/>
    </row>
    <row r="256" spans="1:18" ht="15" thickBot="1">
      <c r="A256">
        <f t="shared" si="19"/>
        <v>42</v>
      </c>
      <c r="B256" s="4" t="s">
        <v>113</v>
      </c>
      <c r="G256" s="84">
        <v>350</v>
      </c>
      <c r="H256" s="87">
        <v>300</v>
      </c>
      <c r="I256" s="313">
        <f t="shared" si="16"/>
        <v>314.7</v>
      </c>
      <c r="J256" s="39">
        <f t="shared" si="20"/>
        <v>104</v>
      </c>
      <c r="K256" s="59" t="s">
        <v>112</v>
      </c>
      <c r="L256" s="25" t="s">
        <v>209</v>
      </c>
      <c r="M256" s="83" t="s">
        <v>209</v>
      </c>
      <c r="N256" s="313"/>
      <c r="R256" s="4"/>
    </row>
    <row r="257" spans="1:18" ht="15" thickBot="1">
      <c r="A257">
        <f t="shared" si="19"/>
        <v>43</v>
      </c>
      <c r="B257" s="4" t="s">
        <v>115</v>
      </c>
      <c r="G257" s="84" t="s">
        <v>209</v>
      </c>
      <c r="H257" s="86" t="s">
        <v>209</v>
      </c>
      <c r="I257" s="313"/>
      <c r="J257" s="39">
        <f t="shared" si="20"/>
        <v>105</v>
      </c>
      <c r="K257" s="39" t="s">
        <v>114</v>
      </c>
      <c r="L257" s="25">
        <v>4520</v>
      </c>
      <c r="M257" s="82">
        <v>5275</v>
      </c>
      <c r="N257" s="313">
        <f t="shared" si="17"/>
        <v>5533.4749999999995</v>
      </c>
      <c r="R257" s="4"/>
    </row>
    <row r="258" spans="1:18" ht="15" thickBot="1">
      <c r="A258">
        <f t="shared" si="19"/>
        <v>44</v>
      </c>
      <c r="B258" s="4" t="s">
        <v>220</v>
      </c>
      <c r="G258" s="84">
        <v>0</v>
      </c>
      <c r="H258" s="85">
        <v>0</v>
      </c>
      <c r="I258" s="313">
        <f t="shared" si="16"/>
        <v>0</v>
      </c>
      <c r="J258" s="39">
        <f t="shared" si="20"/>
        <v>106</v>
      </c>
      <c r="K258" s="39" t="s">
        <v>116</v>
      </c>
      <c r="L258" s="25">
        <v>6875</v>
      </c>
      <c r="M258" s="82">
        <v>7370</v>
      </c>
      <c r="N258" s="313">
        <f t="shared" si="17"/>
        <v>7731.1299999999992</v>
      </c>
      <c r="R258" s="4"/>
    </row>
    <row r="259" spans="1:18" ht="15" thickBot="1">
      <c r="A259">
        <f t="shared" si="19"/>
        <v>45</v>
      </c>
      <c r="B259" t="s">
        <v>119</v>
      </c>
      <c r="G259" s="84">
        <v>250</v>
      </c>
      <c r="H259" s="85">
        <v>400</v>
      </c>
      <c r="I259" s="313">
        <f t="shared" si="16"/>
        <v>419.59999999999997</v>
      </c>
      <c r="J259" s="39">
        <f t="shared" si="20"/>
        <v>107</v>
      </c>
      <c r="K259" s="39" t="s">
        <v>118</v>
      </c>
      <c r="L259" s="25">
        <v>9500</v>
      </c>
      <c r="M259" s="82">
        <v>10055</v>
      </c>
      <c r="N259" s="313">
        <f t="shared" si="17"/>
        <v>10547.695</v>
      </c>
      <c r="R259" s="4"/>
    </row>
    <row r="260" spans="1:18" ht="15" thickBot="1">
      <c r="A260">
        <f t="shared" si="19"/>
        <v>46</v>
      </c>
      <c r="B260" t="s">
        <v>121</v>
      </c>
      <c r="G260" s="84">
        <v>40</v>
      </c>
      <c r="H260" s="85">
        <v>50</v>
      </c>
      <c r="I260" s="313">
        <f t="shared" si="16"/>
        <v>52.449999999999996</v>
      </c>
      <c r="J260" s="39">
        <f t="shared" si="20"/>
        <v>108</v>
      </c>
      <c r="K260" s="39" t="s">
        <v>120</v>
      </c>
      <c r="L260" s="25">
        <v>500</v>
      </c>
      <c r="M260" s="82">
        <v>500</v>
      </c>
      <c r="N260" s="313">
        <f t="shared" si="17"/>
        <v>524.5</v>
      </c>
      <c r="R260" s="4"/>
    </row>
    <row r="261" spans="1:18" ht="15" thickBot="1">
      <c r="A261">
        <f t="shared" si="19"/>
        <v>47</v>
      </c>
      <c r="B261" t="s">
        <v>123</v>
      </c>
      <c r="G261" s="84">
        <v>80</v>
      </c>
      <c r="H261" s="85">
        <v>170</v>
      </c>
      <c r="I261" s="313">
        <f t="shared" si="16"/>
        <v>178.32999999999998</v>
      </c>
      <c r="J261" s="39">
        <f t="shared" si="20"/>
        <v>109</v>
      </c>
      <c r="K261" s="39" t="s">
        <v>122</v>
      </c>
      <c r="L261" s="25">
        <v>3665</v>
      </c>
      <c r="M261" s="82">
        <v>3665</v>
      </c>
      <c r="N261" s="313">
        <f t="shared" si="17"/>
        <v>3844.5849999999996</v>
      </c>
      <c r="R261" s="4"/>
    </row>
    <row r="262" spans="1:18" ht="15" thickBot="1">
      <c r="A262">
        <f t="shared" si="19"/>
        <v>48</v>
      </c>
      <c r="B262" t="s">
        <v>125</v>
      </c>
      <c r="G262" s="84">
        <v>395</v>
      </c>
      <c r="H262" s="85">
        <v>460</v>
      </c>
      <c r="I262" s="313">
        <f t="shared" si="16"/>
        <v>482.53999999999996</v>
      </c>
      <c r="J262" s="39">
        <f t="shared" si="20"/>
        <v>110</v>
      </c>
      <c r="K262" s="39" t="s">
        <v>124</v>
      </c>
      <c r="L262" s="25">
        <v>4200</v>
      </c>
      <c r="M262" s="82">
        <v>5265</v>
      </c>
      <c r="N262" s="313">
        <f t="shared" si="17"/>
        <v>5522.9849999999997</v>
      </c>
      <c r="R262" s="4"/>
    </row>
    <row r="263" spans="1:18" ht="15" thickBot="1">
      <c r="A263">
        <f t="shared" si="19"/>
        <v>49</v>
      </c>
      <c r="B263" t="s">
        <v>127</v>
      </c>
      <c r="G263" s="84">
        <v>160</v>
      </c>
      <c r="H263" s="85">
        <v>200</v>
      </c>
      <c r="I263" s="313">
        <f t="shared" si="16"/>
        <v>209.79999999999998</v>
      </c>
      <c r="J263" s="39">
        <f t="shared" si="20"/>
        <v>111</v>
      </c>
      <c r="K263" s="39" t="s">
        <v>126</v>
      </c>
      <c r="L263" s="25">
        <v>5450</v>
      </c>
      <c r="M263" s="82">
        <v>5725</v>
      </c>
      <c r="N263" s="313">
        <f t="shared" si="17"/>
        <v>6005.5249999999996</v>
      </c>
      <c r="R263" s="4"/>
    </row>
    <row r="264" spans="1:18" ht="15" thickBot="1">
      <c r="A264">
        <f t="shared" si="19"/>
        <v>50</v>
      </c>
      <c r="B264" s="4" t="s">
        <v>129</v>
      </c>
      <c r="G264" s="84">
        <v>7500</v>
      </c>
      <c r="H264" s="85">
        <v>7470</v>
      </c>
      <c r="I264" s="313">
        <f t="shared" si="16"/>
        <v>7836.03</v>
      </c>
      <c r="J264" s="39">
        <f t="shared" si="20"/>
        <v>112</v>
      </c>
      <c r="K264" s="39" t="s">
        <v>128</v>
      </c>
      <c r="L264" s="25">
        <v>6000</v>
      </c>
      <c r="M264" s="82">
        <v>5985</v>
      </c>
      <c r="N264" s="313">
        <f t="shared" si="17"/>
        <v>6278.2649999999994</v>
      </c>
      <c r="R264" s="4"/>
    </row>
    <row r="265" spans="1:18" ht="15" thickBot="1">
      <c r="A265">
        <f t="shared" si="19"/>
        <v>51</v>
      </c>
      <c r="B265" s="4" t="s">
        <v>131</v>
      </c>
      <c r="G265" s="84">
        <v>1115</v>
      </c>
      <c r="H265" s="85">
        <v>1115</v>
      </c>
      <c r="I265" s="313">
        <f t="shared" si="16"/>
        <v>1169.635</v>
      </c>
      <c r="J265" s="39">
        <f t="shared" si="20"/>
        <v>113</v>
      </c>
      <c r="K265" s="59" t="s">
        <v>130</v>
      </c>
      <c r="L265" s="25">
        <v>3525</v>
      </c>
      <c r="M265" s="82">
        <v>3650</v>
      </c>
      <c r="N265" s="313">
        <f t="shared" si="17"/>
        <v>3828.85</v>
      </c>
      <c r="R265" s="4"/>
    </row>
    <row r="266" spans="1:18" ht="15" thickBot="1">
      <c r="A266">
        <f t="shared" si="19"/>
        <v>52</v>
      </c>
      <c r="B266" s="4" t="s">
        <v>133</v>
      </c>
      <c r="G266" s="84">
        <v>7395</v>
      </c>
      <c r="H266" s="85">
        <v>7365</v>
      </c>
      <c r="I266" s="313">
        <f t="shared" si="16"/>
        <v>7725.8849999999993</v>
      </c>
      <c r="J266" s="39">
        <f t="shared" si="20"/>
        <v>114</v>
      </c>
      <c r="K266" s="59" t="s">
        <v>132</v>
      </c>
      <c r="L266" s="25">
        <v>4345</v>
      </c>
      <c r="M266" s="82">
        <v>5482</v>
      </c>
      <c r="N266" s="313">
        <f t="shared" si="17"/>
        <v>5750.6179999999995</v>
      </c>
      <c r="R266" s="4"/>
    </row>
    <row r="267" spans="1:18" ht="15" thickBot="1">
      <c r="A267">
        <f t="shared" si="19"/>
        <v>53</v>
      </c>
      <c r="B267" s="4" t="s">
        <v>135</v>
      </c>
      <c r="G267" s="84">
        <v>7460</v>
      </c>
      <c r="H267" s="85">
        <v>7430</v>
      </c>
      <c r="I267" s="313">
        <f t="shared" si="16"/>
        <v>7794.07</v>
      </c>
      <c r="J267" s="39">
        <f t="shared" si="20"/>
        <v>115</v>
      </c>
      <c r="K267" s="59" t="s">
        <v>134</v>
      </c>
      <c r="L267" s="25">
        <v>1500</v>
      </c>
      <c r="M267" s="82">
        <v>1750</v>
      </c>
      <c r="N267" s="313">
        <f t="shared" si="17"/>
        <v>1835.7499999999998</v>
      </c>
      <c r="R267" s="4"/>
    </row>
    <row r="268" spans="1:18" ht="15" thickBot="1">
      <c r="A268">
        <f t="shared" si="19"/>
        <v>54</v>
      </c>
      <c r="B268" s="4" t="s">
        <v>137</v>
      </c>
      <c r="G268" s="84">
        <v>675</v>
      </c>
      <c r="H268" s="86" t="s">
        <v>699</v>
      </c>
      <c r="I268" s="313"/>
      <c r="J268" s="39">
        <f t="shared" si="20"/>
        <v>116</v>
      </c>
      <c r="K268" s="59" t="s">
        <v>136</v>
      </c>
      <c r="L268" s="25">
        <v>750</v>
      </c>
      <c r="M268" s="82">
        <v>1000</v>
      </c>
      <c r="N268" s="313">
        <f t="shared" si="17"/>
        <v>1049</v>
      </c>
      <c r="R268" s="4"/>
    </row>
    <row r="269" spans="1:18" ht="15" thickBot="1">
      <c r="A269">
        <f t="shared" si="19"/>
        <v>55</v>
      </c>
      <c r="B269" s="4" t="s">
        <v>139</v>
      </c>
      <c r="G269" s="84">
        <v>2825</v>
      </c>
      <c r="H269" s="85">
        <v>2795</v>
      </c>
      <c r="I269" s="313">
        <f t="shared" si="16"/>
        <v>2931.9549999999999</v>
      </c>
      <c r="J269" s="39">
        <f t="shared" si="20"/>
        <v>117</v>
      </c>
      <c r="K269" s="39" t="s">
        <v>138</v>
      </c>
      <c r="L269" s="25">
        <v>5530</v>
      </c>
      <c r="M269" s="82">
        <v>6040</v>
      </c>
      <c r="N269" s="313">
        <f t="shared" si="17"/>
        <v>6335.96</v>
      </c>
      <c r="R269" s="4"/>
    </row>
    <row r="270" spans="1:18" ht="15" thickBot="1">
      <c r="A270">
        <f t="shared" si="19"/>
        <v>56</v>
      </c>
      <c r="B270" s="4" t="s">
        <v>141</v>
      </c>
      <c r="G270" s="84">
        <v>4240</v>
      </c>
      <c r="H270" s="85">
        <v>4210</v>
      </c>
      <c r="I270" s="313">
        <f t="shared" si="16"/>
        <v>4416.29</v>
      </c>
      <c r="J270" s="39">
        <f t="shared" si="20"/>
        <v>118</v>
      </c>
      <c r="K270" s="39" t="s">
        <v>140</v>
      </c>
      <c r="L270" s="25">
        <v>1940</v>
      </c>
      <c r="M270" s="82">
        <v>2200</v>
      </c>
      <c r="N270" s="313">
        <f t="shared" si="17"/>
        <v>2307.7999999999997</v>
      </c>
      <c r="R270" s="4"/>
    </row>
    <row r="271" spans="1:18" ht="15" thickBot="1">
      <c r="A271">
        <f t="shared" si="19"/>
        <v>57</v>
      </c>
      <c r="B271" s="4" t="s">
        <v>143</v>
      </c>
      <c r="G271" s="84">
        <v>5015</v>
      </c>
      <c r="H271" s="85">
        <v>4985</v>
      </c>
      <c r="I271" s="313">
        <f t="shared" si="16"/>
        <v>5229.2649999999994</v>
      </c>
      <c r="J271" s="39">
        <f t="shared" si="20"/>
        <v>119</v>
      </c>
      <c r="K271" s="39" t="s">
        <v>142</v>
      </c>
      <c r="L271" s="25" t="s">
        <v>209</v>
      </c>
      <c r="M271" s="83" t="s">
        <v>209</v>
      </c>
      <c r="N271" s="313" t="e">
        <f t="shared" si="17"/>
        <v>#VALUE!</v>
      </c>
      <c r="R271" s="4"/>
    </row>
    <row r="272" spans="1:18" ht="15" thickBot="1">
      <c r="A272">
        <f t="shared" si="19"/>
        <v>58</v>
      </c>
      <c r="B272" s="4" t="s">
        <v>145</v>
      </c>
      <c r="G272" s="84">
        <v>8745</v>
      </c>
      <c r="H272" s="85">
        <v>8715</v>
      </c>
      <c r="I272" s="313">
        <f t="shared" si="16"/>
        <v>9142.0349999999999</v>
      </c>
      <c r="J272" s="39">
        <f t="shared" si="20"/>
        <v>120</v>
      </c>
      <c r="K272" s="59" t="s">
        <v>144</v>
      </c>
      <c r="L272" s="25">
        <v>4345</v>
      </c>
      <c r="M272" s="82">
        <v>5240</v>
      </c>
      <c r="N272" s="313">
        <f t="shared" si="17"/>
        <v>5496.7599999999993</v>
      </c>
      <c r="R272" s="4"/>
    </row>
    <row r="273" spans="1:19" ht="15" thickBot="1">
      <c r="A273">
        <f t="shared" si="19"/>
        <v>59</v>
      </c>
      <c r="B273" s="4" t="s">
        <v>147</v>
      </c>
      <c r="G273" s="84">
        <v>10230</v>
      </c>
      <c r="H273" s="85">
        <v>10200</v>
      </c>
      <c r="I273" s="313">
        <f t="shared" si="16"/>
        <v>10699.8</v>
      </c>
      <c r="J273" s="39">
        <f t="shared" si="20"/>
        <v>121</v>
      </c>
      <c r="K273" s="60" t="s">
        <v>146</v>
      </c>
      <c r="L273" s="25">
        <v>6600</v>
      </c>
      <c r="M273" s="82">
        <v>9445</v>
      </c>
      <c r="N273" s="313">
        <f t="shared" si="17"/>
        <v>9907.8049999999985</v>
      </c>
      <c r="R273" s="4"/>
      <c r="S273" s="4"/>
    </row>
    <row r="274" spans="1:19" ht="15" thickBot="1">
      <c r="A274">
        <f t="shared" si="19"/>
        <v>60</v>
      </c>
      <c r="B274" s="4" t="s">
        <v>149</v>
      </c>
      <c r="G274" s="84">
        <v>1280</v>
      </c>
      <c r="H274" s="86" t="s">
        <v>32</v>
      </c>
      <c r="I274" s="313"/>
      <c r="J274" s="39">
        <f t="shared" si="20"/>
        <v>122</v>
      </c>
      <c r="K274" s="59" t="s">
        <v>148</v>
      </c>
      <c r="L274" s="25">
        <v>1620</v>
      </c>
      <c r="M274" s="83">
        <v>1750</v>
      </c>
      <c r="N274" s="313">
        <f t="shared" si="17"/>
        <v>1835.7499999999998</v>
      </c>
      <c r="R274" s="4"/>
      <c r="S274" s="4"/>
    </row>
    <row r="275" spans="1:19" ht="15" thickBot="1">
      <c r="A275">
        <f t="shared" si="19"/>
        <v>61</v>
      </c>
      <c r="B275" s="4" t="s">
        <v>151</v>
      </c>
      <c r="G275" s="84">
        <v>1980</v>
      </c>
      <c r="H275" s="86" t="s">
        <v>32</v>
      </c>
      <c r="I275" s="313"/>
      <c r="J275" s="39">
        <f t="shared" si="20"/>
        <v>123</v>
      </c>
      <c r="K275" s="39" t="s">
        <v>150</v>
      </c>
      <c r="L275" s="25">
        <v>605</v>
      </c>
      <c r="M275" s="88">
        <v>800</v>
      </c>
      <c r="N275" s="313">
        <f t="shared" si="17"/>
        <v>839.19999999999993</v>
      </c>
      <c r="R275" s="4"/>
      <c r="S275" s="4"/>
    </row>
    <row r="276" spans="1:19" ht="15" thickBot="1">
      <c r="A276">
        <f t="shared" si="19"/>
        <v>62</v>
      </c>
      <c r="B276" s="4" t="s">
        <v>153</v>
      </c>
      <c r="G276" s="84">
        <v>2445</v>
      </c>
      <c r="H276" s="86" t="s">
        <v>32</v>
      </c>
      <c r="I276" s="313"/>
      <c r="J276" s="39">
        <f t="shared" si="20"/>
        <v>124</v>
      </c>
      <c r="K276" s="39" t="s">
        <v>152</v>
      </c>
      <c r="L276" s="25">
        <v>605</v>
      </c>
      <c r="M276" s="88">
        <v>800</v>
      </c>
      <c r="N276" s="313">
        <f t="shared" si="17"/>
        <v>839.19999999999993</v>
      </c>
      <c r="R276" s="4"/>
      <c r="S276" s="4"/>
    </row>
    <row r="277" spans="1:19" ht="15" thickBot="1">
      <c r="A277">
        <f t="shared" si="19"/>
        <v>63</v>
      </c>
      <c r="B277" s="4" t="s">
        <v>155</v>
      </c>
      <c r="G277" s="84">
        <v>4330</v>
      </c>
      <c r="H277" s="86" t="s">
        <v>32</v>
      </c>
      <c r="I277" s="313"/>
      <c r="J277" s="39">
        <f t="shared" si="20"/>
        <v>125</v>
      </c>
      <c r="K277" s="39" t="s">
        <v>154</v>
      </c>
      <c r="L277" s="25">
        <v>880</v>
      </c>
      <c r="M277" s="88">
        <v>1150</v>
      </c>
      <c r="N277" s="313">
        <f t="shared" si="17"/>
        <v>1206.3499999999999</v>
      </c>
      <c r="R277" s="4"/>
      <c r="S277" s="4"/>
    </row>
    <row r="278" spans="1:19" ht="15" thickBot="1">
      <c r="G278" s="61"/>
      <c r="H278" s="61"/>
      <c r="J278" s="39">
        <f t="shared" si="20"/>
        <v>126</v>
      </c>
      <c r="K278" s="39" t="s">
        <v>156</v>
      </c>
      <c r="L278" s="25">
        <v>605</v>
      </c>
      <c r="M278" s="88">
        <v>800</v>
      </c>
      <c r="N278" s="313">
        <f t="shared" si="17"/>
        <v>839.19999999999993</v>
      </c>
      <c r="R278" s="4"/>
      <c r="S278" s="4"/>
    </row>
    <row r="279" spans="1:19" ht="15" thickBot="1">
      <c r="G279" s="39"/>
      <c r="H279" s="39"/>
      <c r="J279" s="39">
        <f>(J278+1)</f>
        <v>127</v>
      </c>
      <c r="K279" s="39" t="s">
        <v>157</v>
      </c>
      <c r="L279" s="25">
        <v>880</v>
      </c>
      <c r="M279" s="88">
        <v>1150</v>
      </c>
      <c r="N279" s="313">
        <f t="shared" si="17"/>
        <v>1206.3499999999999</v>
      </c>
    </row>
    <row r="280" spans="1:19" ht="15" thickBot="1">
      <c r="G280" s="39"/>
      <c r="H280" s="39"/>
      <c r="J280" s="39">
        <f t="shared" si="20"/>
        <v>128</v>
      </c>
      <c r="K280" s="39" t="s">
        <v>158</v>
      </c>
      <c r="L280" s="25">
        <v>1560</v>
      </c>
      <c r="M280" s="82">
        <v>2000</v>
      </c>
      <c r="N280" s="313">
        <f t="shared" ref="N280:N289" si="21">M280*1.049</f>
        <v>2098</v>
      </c>
    </row>
    <row r="281" spans="1:19" ht="15" thickBot="1">
      <c r="G281" s="39"/>
      <c r="H281" s="39"/>
      <c r="J281" s="39">
        <f>(J280+1)</f>
        <v>129</v>
      </c>
      <c r="K281" s="39" t="s">
        <v>160</v>
      </c>
      <c r="L281" s="25">
        <v>1710</v>
      </c>
      <c r="M281" s="82">
        <v>2200</v>
      </c>
      <c r="N281" s="313">
        <f t="shared" si="21"/>
        <v>2307.7999999999997</v>
      </c>
    </row>
    <row r="282" spans="1:19" ht="15" thickBot="1">
      <c r="G282" s="39"/>
      <c r="H282" s="39"/>
      <c r="J282" s="39">
        <f>(J281+1)</f>
        <v>130</v>
      </c>
      <c r="K282" s="39" t="s">
        <v>161</v>
      </c>
      <c r="L282" s="25">
        <v>1895</v>
      </c>
      <c r="M282" s="82">
        <v>2400</v>
      </c>
      <c r="N282" s="313">
        <f t="shared" si="21"/>
        <v>2517.6</v>
      </c>
    </row>
    <row r="283" spans="1:19" ht="15" thickBot="1">
      <c r="G283" s="39"/>
      <c r="H283" s="39"/>
      <c r="J283" s="39">
        <f>(J282+1)</f>
        <v>131</v>
      </c>
      <c r="K283" s="39" t="s">
        <v>162</v>
      </c>
      <c r="L283" s="25">
        <v>1940</v>
      </c>
      <c r="M283" s="82">
        <v>2500</v>
      </c>
      <c r="N283" s="313">
        <f t="shared" si="21"/>
        <v>2622.5</v>
      </c>
    </row>
    <row r="284" spans="1:19" ht="15" thickBot="1">
      <c r="G284" s="39"/>
      <c r="H284" s="39"/>
      <c r="J284" s="39">
        <f>(J283+1)</f>
        <v>132</v>
      </c>
      <c r="K284" s="39" t="s">
        <v>163</v>
      </c>
      <c r="L284" s="25">
        <v>3600</v>
      </c>
      <c r="M284" s="83">
        <v>5000</v>
      </c>
      <c r="N284" s="313">
        <f t="shared" si="21"/>
        <v>5245</v>
      </c>
    </row>
    <row r="285" spans="1:19" ht="15" thickBot="1">
      <c r="G285" s="39"/>
      <c r="H285" s="39"/>
      <c r="J285" s="39">
        <f>(J284+1)</f>
        <v>133</v>
      </c>
      <c r="K285" s="39" t="s">
        <v>164</v>
      </c>
      <c r="L285" s="25" t="s">
        <v>209</v>
      </c>
      <c r="M285" s="90">
        <v>2625</v>
      </c>
      <c r="N285" s="313">
        <f t="shared" si="21"/>
        <v>2753.625</v>
      </c>
    </row>
    <row r="286" spans="1:19" ht="15" thickBot="1">
      <c r="G286" s="39"/>
      <c r="H286" s="39"/>
      <c r="J286" s="39">
        <v>134</v>
      </c>
      <c r="K286" s="39" t="s">
        <v>222</v>
      </c>
      <c r="L286" s="25">
        <v>125</v>
      </c>
      <c r="M286" s="83" t="s">
        <v>209</v>
      </c>
      <c r="N286" s="313"/>
    </row>
    <row r="287" spans="1:19" ht="15" thickBot="1">
      <c r="G287" s="39"/>
      <c r="H287" s="39"/>
      <c r="J287" s="39">
        <v>135</v>
      </c>
      <c r="K287" s="39" t="s">
        <v>166</v>
      </c>
      <c r="L287" s="25">
        <v>370</v>
      </c>
      <c r="M287" s="82">
        <v>445</v>
      </c>
      <c r="N287" s="313">
        <f t="shared" si="21"/>
        <v>466.80499999999995</v>
      </c>
    </row>
    <row r="288" spans="1:19" ht="15" thickBot="1">
      <c r="G288" s="39"/>
      <c r="H288" s="39"/>
      <c r="J288" s="39">
        <v>136</v>
      </c>
      <c r="K288" s="39" t="s">
        <v>167</v>
      </c>
      <c r="L288" s="25">
        <v>2790</v>
      </c>
      <c r="M288" s="83" t="s">
        <v>209</v>
      </c>
      <c r="N288" s="313"/>
    </row>
    <row r="289" spans="2:18" ht="15" thickBot="1">
      <c r="J289" s="39">
        <v>137</v>
      </c>
      <c r="K289" s="39" t="s">
        <v>168</v>
      </c>
      <c r="L289" s="25">
        <v>75</v>
      </c>
      <c r="M289" s="82">
        <v>70</v>
      </c>
      <c r="N289" s="313">
        <f t="shared" si="21"/>
        <v>73.429999999999993</v>
      </c>
    </row>
    <row r="290" spans="2:18" ht="15" thickBot="1">
      <c r="B290" s="1" t="s">
        <v>1</v>
      </c>
      <c r="G290" s="2" t="s">
        <v>228</v>
      </c>
      <c r="J290" s="1" t="s">
        <v>233</v>
      </c>
      <c r="M290" s="1"/>
      <c r="N290" s="1"/>
      <c r="O290" s="1"/>
      <c r="P290" s="1"/>
      <c r="Q290" s="1"/>
      <c r="R290" s="1"/>
    </row>
    <row r="291" spans="2:18">
      <c r="J291" s="1" t="s">
        <v>234</v>
      </c>
      <c r="M291" s="1"/>
      <c r="N291" s="1"/>
      <c r="O291" s="1"/>
      <c r="P291" s="1"/>
      <c r="Q291" s="1"/>
      <c r="R291" s="1"/>
    </row>
    <row r="292" spans="2:18" ht="15" thickBot="1">
      <c r="B292" s="1" t="s">
        <v>2</v>
      </c>
      <c r="G292" s="2" t="s">
        <v>230</v>
      </c>
    </row>
    <row r="294" spans="2:18" ht="15" thickBot="1">
      <c r="B294" s="3" t="s">
        <v>3</v>
      </c>
      <c r="F294" s="1"/>
      <c r="G294" s="21" t="s">
        <v>231</v>
      </c>
      <c r="I294" s="1" t="s">
        <v>745</v>
      </c>
      <c r="J294" s="3" t="s">
        <v>4</v>
      </c>
      <c r="K294" s="81">
        <v>95698</v>
      </c>
      <c r="L294" s="48">
        <f>121733+4371</f>
        <v>126104</v>
      </c>
      <c r="M294" s="313">
        <f t="shared" ref="M294:M295" si="22">L294*1.049</f>
        <v>132283.09599999999</v>
      </c>
      <c r="N294" t="s">
        <v>205</v>
      </c>
    </row>
    <row r="295" spans="2:18" ht="15" thickBot="1">
      <c r="B295" s="4" t="s">
        <v>6</v>
      </c>
      <c r="I295" s="1" t="s">
        <v>746</v>
      </c>
      <c r="J295" s="4" t="s">
        <v>7</v>
      </c>
      <c r="K295" s="91">
        <v>98124</v>
      </c>
      <c r="L295" s="48">
        <f>124159+4371</f>
        <v>128530</v>
      </c>
      <c r="M295" s="313">
        <f t="shared" si="22"/>
        <v>134827.97</v>
      </c>
      <c r="N295" t="s">
        <v>206</v>
      </c>
    </row>
    <row r="296" spans="2:18" ht="15" thickBot="1">
      <c r="B296" s="3" t="s">
        <v>8</v>
      </c>
      <c r="G296" s="21" t="s">
        <v>231</v>
      </c>
      <c r="I296" s="1" t="s">
        <v>747</v>
      </c>
      <c r="J296" s="3"/>
    </row>
    <row r="297" spans="2:18">
      <c r="B297" s="4" t="s">
        <v>10</v>
      </c>
      <c r="J297" s="4"/>
    </row>
    <row r="298" spans="2:18" ht="15" thickBot="1">
      <c r="B298" s="3" t="s">
        <v>11</v>
      </c>
      <c r="G298" s="81">
        <v>76820</v>
      </c>
      <c r="H298" s="48">
        <f>97830+4372</f>
        <v>102202</v>
      </c>
      <c r="I298" s="313">
        <f t="shared" ref="I298:I306" si="23">H298*1.049</f>
        <v>107209.89799999999</v>
      </c>
      <c r="J298" s="3" t="s">
        <v>12</v>
      </c>
      <c r="K298" s="81">
        <v>98581</v>
      </c>
      <c r="L298" s="48">
        <f>125499+4371</f>
        <v>129870</v>
      </c>
      <c r="M298" s="313">
        <f t="shared" ref="M298:M299" si="24">L298*1.049</f>
        <v>136233.63</v>
      </c>
      <c r="N298" t="s">
        <v>205</v>
      </c>
    </row>
    <row r="299" spans="2:18" ht="15" thickBot="1">
      <c r="B299" s="4" t="s">
        <v>7</v>
      </c>
      <c r="J299" s="4" t="s">
        <v>13</v>
      </c>
      <c r="K299" s="91">
        <v>101007</v>
      </c>
      <c r="L299" s="48">
        <f>127925+4371</f>
        <v>132296</v>
      </c>
      <c r="M299" s="313">
        <f t="shared" si="24"/>
        <v>138778.50399999999</v>
      </c>
      <c r="N299" t="s">
        <v>206</v>
      </c>
    </row>
    <row r="300" spans="2:18" ht="15" thickBot="1">
      <c r="B300" s="3" t="s">
        <v>14</v>
      </c>
      <c r="G300" s="81">
        <v>78236</v>
      </c>
      <c r="H300" s="48">
        <f>99271+4371</f>
        <v>103642</v>
      </c>
      <c r="I300" s="313">
        <f t="shared" si="23"/>
        <v>108720.458</v>
      </c>
    </row>
    <row r="301" spans="2:18">
      <c r="B301" s="4" t="s">
        <v>7</v>
      </c>
      <c r="J301" s="20" t="s">
        <v>232</v>
      </c>
      <c r="K301" s="48"/>
      <c r="L301" s="48"/>
    </row>
    <row r="302" spans="2:18" ht="15" thickBot="1">
      <c r="B302" s="3" t="s">
        <v>15</v>
      </c>
      <c r="G302" s="81">
        <v>100903</v>
      </c>
      <c r="H302" s="48">
        <f>126939+4371</f>
        <v>131310</v>
      </c>
      <c r="I302" s="313">
        <f t="shared" si="23"/>
        <v>137744.19</v>
      </c>
    </row>
    <row r="303" spans="2:18">
      <c r="B303" s="4" t="s">
        <v>7</v>
      </c>
      <c r="J303" s="41" t="s">
        <v>911</v>
      </c>
      <c r="K303" t="s">
        <v>913</v>
      </c>
      <c r="M303" s="316">
        <v>106635</v>
      </c>
    </row>
    <row r="304" spans="2:18" ht="15" thickBot="1">
      <c r="B304" s="3" t="s">
        <v>16</v>
      </c>
      <c r="G304" s="81">
        <v>81119</v>
      </c>
      <c r="H304" s="48">
        <f>103037+4371</f>
        <v>107408</v>
      </c>
      <c r="I304" s="313">
        <f t="shared" si="23"/>
        <v>112670.992</v>
      </c>
      <c r="M304" s="1"/>
    </row>
    <row r="305" spans="1:19">
      <c r="B305" s="4" t="s">
        <v>13</v>
      </c>
      <c r="J305" s="1" t="s">
        <v>912</v>
      </c>
      <c r="K305" t="s">
        <v>913</v>
      </c>
      <c r="M305" s="316">
        <v>109891</v>
      </c>
    </row>
    <row r="306" spans="1:19" ht="15" thickBot="1">
      <c r="B306" s="3" t="s">
        <v>17</v>
      </c>
      <c r="G306" s="81">
        <v>103786</v>
      </c>
      <c r="H306" s="48">
        <f>130705+4371</f>
        <v>135076</v>
      </c>
      <c r="I306" s="313">
        <f t="shared" si="23"/>
        <v>141694.72399999999</v>
      </c>
    </row>
    <row r="307" spans="1:19">
      <c r="B307" s="4" t="s">
        <v>13</v>
      </c>
      <c r="K307" t="s">
        <v>914</v>
      </c>
    </row>
    <row r="309" spans="1:19">
      <c r="B309" s="3" t="s">
        <v>239</v>
      </c>
      <c r="H309" t="s">
        <v>715</v>
      </c>
      <c r="L309" t="s">
        <v>715</v>
      </c>
    </row>
    <row r="310" spans="1:19" ht="15" thickBot="1">
      <c r="A310">
        <v>1</v>
      </c>
      <c r="B310" s="4" t="s">
        <v>23</v>
      </c>
      <c r="G310" s="25">
        <v>1365</v>
      </c>
      <c r="H310" s="82">
        <v>2070</v>
      </c>
      <c r="I310" s="313">
        <f t="shared" ref="I310:I368" si="25">H310*1.049</f>
        <v>2171.4299999999998</v>
      </c>
      <c r="J310" s="39">
        <f>(A372+1)</f>
        <v>64</v>
      </c>
      <c r="K310" s="59" t="s">
        <v>24</v>
      </c>
      <c r="L310" s="25">
        <v>8910</v>
      </c>
      <c r="M310" s="82">
        <v>9355</v>
      </c>
      <c r="N310" s="313">
        <f t="shared" ref="N310:N373" si="26">M310*1.049</f>
        <v>9813.3949999999986</v>
      </c>
      <c r="O310">
        <v>138</v>
      </c>
      <c r="P310" t="s">
        <v>25</v>
      </c>
      <c r="Q310" s="17">
        <v>6600</v>
      </c>
      <c r="R310" s="51">
        <v>6522</v>
      </c>
      <c r="S310" s="313">
        <f t="shared" ref="S310:S314" si="27">R310*1.049</f>
        <v>6841.5779999999995</v>
      </c>
    </row>
    <row r="311" spans="1:19" ht="15" thickBot="1">
      <c r="A311">
        <f>A310+1</f>
        <v>2</v>
      </c>
      <c r="B311" s="4" t="s">
        <v>26</v>
      </c>
      <c r="G311" s="25">
        <v>1045</v>
      </c>
      <c r="H311" s="82">
        <v>1670</v>
      </c>
      <c r="I311" s="313">
        <f t="shared" si="25"/>
        <v>1751.83</v>
      </c>
      <c r="J311" s="39">
        <f t="shared" ref="J311:J374" si="28">(J310+1)</f>
        <v>65</v>
      </c>
      <c r="K311" s="39" t="s">
        <v>27</v>
      </c>
      <c r="L311" s="25">
        <v>4850</v>
      </c>
      <c r="M311" s="83" t="s">
        <v>209</v>
      </c>
      <c r="N311" s="313"/>
      <c r="O311">
        <v>139</v>
      </c>
      <c r="P311" t="s">
        <v>28</v>
      </c>
      <c r="Q311" s="17">
        <v>15600</v>
      </c>
      <c r="R311" s="51">
        <v>7990</v>
      </c>
      <c r="S311" s="313">
        <f t="shared" si="27"/>
        <v>8381.51</v>
      </c>
    </row>
    <row r="312" spans="1:19" ht="15" thickBot="1">
      <c r="A312">
        <f t="shared" ref="A312:A372" si="29">A311+1</f>
        <v>3</v>
      </c>
      <c r="B312" s="4" t="s">
        <v>29</v>
      </c>
      <c r="G312" s="25">
        <v>690</v>
      </c>
      <c r="H312" s="82">
        <v>995</v>
      </c>
      <c r="I312" s="313">
        <f t="shared" si="25"/>
        <v>1043.7549999999999</v>
      </c>
      <c r="J312" s="39">
        <f t="shared" si="28"/>
        <v>66</v>
      </c>
      <c r="K312" s="59" t="s">
        <v>30</v>
      </c>
      <c r="L312" s="25">
        <v>1010</v>
      </c>
      <c r="M312" s="82">
        <v>1140</v>
      </c>
      <c r="N312" s="313">
        <f t="shared" si="26"/>
        <v>1195.8599999999999</v>
      </c>
      <c r="O312">
        <v>140</v>
      </c>
      <c r="P312" s="4" t="s">
        <v>207</v>
      </c>
      <c r="Q312" s="17" t="s">
        <v>208</v>
      </c>
      <c r="R312" s="51" t="s">
        <v>208</v>
      </c>
      <c r="S312" s="313"/>
    </row>
    <row r="313" spans="1:19" ht="15" thickBot="1">
      <c r="A313">
        <f t="shared" si="29"/>
        <v>4</v>
      </c>
      <c r="B313" s="4" t="s">
        <v>34</v>
      </c>
      <c r="G313" s="25">
        <v>735</v>
      </c>
      <c r="H313" s="82">
        <v>800</v>
      </c>
      <c r="I313" s="313">
        <f t="shared" si="25"/>
        <v>839.19999999999993</v>
      </c>
      <c r="J313" s="39">
        <f t="shared" si="28"/>
        <v>67</v>
      </c>
      <c r="K313" s="59" t="s">
        <v>35</v>
      </c>
      <c r="L313" s="25">
        <v>2900</v>
      </c>
      <c r="M313" s="82">
        <v>3393</v>
      </c>
      <c r="N313" s="313">
        <f t="shared" si="26"/>
        <v>3559.2569999999996</v>
      </c>
      <c r="O313">
        <v>140</v>
      </c>
      <c r="P313" s="4" t="s">
        <v>31</v>
      </c>
      <c r="Q313" s="17">
        <v>1130</v>
      </c>
      <c r="R313" s="52">
        <v>1325</v>
      </c>
      <c r="S313" s="313">
        <f t="shared" si="27"/>
        <v>1389.925</v>
      </c>
    </row>
    <row r="314" spans="1:19" ht="15" thickBot="1">
      <c r="A314">
        <f t="shared" si="29"/>
        <v>5</v>
      </c>
      <c r="B314" s="4" t="s">
        <v>37</v>
      </c>
      <c r="G314" s="25">
        <v>1170</v>
      </c>
      <c r="H314" s="82">
        <v>1290</v>
      </c>
      <c r="I314" s="313">
        <f t="shared" si="25"/>
        <v>1353.2099999999998</v>
      </c>
      <c r="J314" s="39">
        <f t="shared" si="28"/>
        <v>68</v>
      </c>
      <c r="K314" s="39" t="s">
        <v>38</v>
      </c>
      <c r="L314" s="25">
        <v>9500</v>
      </c>
      <c r="M314" s="82">
        <v>12240</v>
      </c>
      <c r="N314" s="313">
        <f t="shared" si="26"/>
        <v>12839.759999999998</v>
      </c>
      <c r="O314">
        <v>141</v>
      </c>
      <c r="P314" s="19" t="s">
        <v>36</v>
      </c>
      <c r="Q314" s="17">
        <v>365</v>
      </c>
      <c r="R314" s="51">
        <v>425</v>
      </c>
      <c r="S314" s="313">
        <f t="shared" si="27"/>
        <v>445.82499999999999</v>
      </c>
    </row>
    <row r="315" spans="1:19" ht="15" thickBot="1">
      <c r="A315">
        <f t="shared" si="29"/>
        <v>6</v>
      </c>
      <c r="B315" s="4" t="s">
        <v>39</v>
      </c>
      <c r="G315" s="25">
        <v>1830</v>
      </c>
      <c r="H315" s="82">
        <v>1930</v>
      </c>
      <c r="I315" s="313">
        <f t="shared" si="25"/>
        <v>2024.57</v>
      </c>
      <c r="J315" s="39">
        <f t="shared" si="28"/>
        <v>69</v>
      </c>
      <c r="K315" s="59" t="s">
        <v>40</v>
      </c>
      <c r="L315" s="25" t="s">
        <v>209</v>
      </c>
      <c r="M315" s="83">
        <v>11400</v>
      </c>
      <c r="N315" s="313">
        <f t="shared" si="26"/>
        <v>11958.599999999999</v>
      </c>
    </row>
    <row r="316" spans="1:19" ht="15" thickBot="1">
      <c r="A316">
        <f t="shared" si="29"/>
        <v>7</v>
      </c>
      <c r="B316" s="4" t="s">
        <v>41</v>
      </c>
      <c r="G316" s="25">
        <v>1330</v>
      </c>
      <c r="H316" s="82">
        <v>1660</v>
      </c>
      <c r="I316" s="313">
        <f t="shared" si="25"/>
        <v>1741.34</v>
      </c>
      <c r="J316" s="39">
        <f t="shared" si="28"/>
        <v>70</v>
      </c>
      <c r="K316" s="59" t="s">
        <v>42</v>
      </c>
      <c r="L316" s="25">
        <v>1065</v>
      </c>
      <c r="M316" s="82">
        <v>1210</v>
      </c>
      <c r="N316" s="313">
        <f t="shared" si="26"/>
        <v>1269.29</v>
      </c>
    </row>
    <row r="317" spans="1:19" ht="15" thickBot="1">
      <c r="A317">
        <f t="shared" si="29"/>
        <v>8</v>
      </c>
      <c r="B317" s="4" t="s">
        <v>43</v>
      </c>
      <c r="G317" s="25">
        <v>1545</v>
      </c>
      <c r="H317" s="82">
        <v>1990</v>
      </c>
      <c r="I317" s="313">
        <f t="shared" si="25"/>
        <v>2087.5099999999998</v>
      </c>
      <c r="J317" s="39">
        <f t="shared" si="28"/>
        <v>71</v>
      </c>
      <c r="K317" s="59" t="s">
        <v>44</v>
      </c>
      <c r="L317" s="25">
        <v>1110</v>
      </c>
      <c r="M317" s="88">
        <v>655</v>
      </c>
      <c r="N317" s="313">
        <f t="shared" si="26"/>
        <v>687.09499999999991</v>
      </c>
    </row>
    <row r="318" spans="1:19" ht="15" thickBot="1">
      <c r="A318">
        <f t="shared" si="29"/>
        <v>9</v>
      </c>
      <c r="B318" s="4" t="s">
        <v>45</v>
      </c>
      <c r="G318" s="25">
        <v>-120</v>
      </c>
      <c r="H318" s="82">
        <v>-120</v>
      </c>
      <c r="I318" s="313">
        <f t="shared" si="25"/>
        <v>-125.88</v>
      </c>
      <c r="J318" s="39">
        <f t="shared" si="28"/>
        <v>72</v>
      </c>
      <c r="K318" s="59" t="s">
        <v>46</v>
      </c>
      <c r="L318" s="25">
        <v>260</v>
      </c>
      <c r="M318" s="88">
        <v>300</v>
      </c>
      <c r="N318" s="313">
        <f t="shared" si="26"/>
        <v>314.7</v>
      </c>
    </row>
    <row r="319" spans="1:19" ht="15" thickBot="1">
      <c r="A319">
        <f t="shared" si="29"/>
        <v>10</v>
      </c>
      <c r="B319" s="4" t="s">
        <v>47</v>
      </c>
      <c r="G319" s="25">
        <v>505</v>
      </c>
      <c r="H319" s="82">
        <v>1185</v>
      </c>
      <c r="I319" s="313">
        <f t="shared" si="25"/>
        <v>1243.0649999999998</v>
      </c>
      <c r="J319" s="39">
        <f t="shared" si="28"/>
        <v>73</v>
      </c>
      <c r="K319" s="59" t="s">
        <v>48</v>
      </c>
      <c r="L319" s="25">
        <v>870</v>
      </c>
      <c r="M319" s="88">
        <v>1100</v>
      </c>
      <c r="N319" s="313">
        <f t="shared" si="26"/>
        <v>1153.8999999999999</v>
      </c>
    </row>
    <row r="320" spans="1:19" ht="15" thickBot="1">
      <c r="A320">
        <f t="shared" si="29"/>
        <v>11</v>
      </c>
      <c r="B320" t="s">
        <v>211</v>
      </c>
      <c r="G320" s="25">
        <v>505</v>
      </c>
      <c r="H320" s="82">
        <v>1185</v>
      </c>
      <c r="I320" s="313">
        <f t="shared" si="25"/>
        <v>1243.0649999999998</v>
      </c>
      <c r="J320" s="39">
        <f t="shared" si="28"/>
        <v>74</v>
      </c>
      <c r="K320" s="59" t="s">
        <v>50</v>
      </c>
      <c r="L320" s="25">
        <v>160</v>
      </c>
      <c r="M320" s="88">
        <v>150</v>
      </c>
      <c r="N320" s="313">
        <f t="shared" si="26"/>
        <v>157.35</v>
      </c>
    </row>
    <row r="321" spans="1:14" ht="15" thickBot="1">
      <c r="A321">
        <f t="shared" si="29"/>
        <v>12</v>
      </c>
      <c r="B321" s="4" t="s">
        <v>51</v>
      </c>
      <c r="E321" s="1"/>
      <c r="G321" s="25">
        <v>505</v>
      </c>
      <c r="H321" s="82">
        <v>1185</v>
      </c>
      <c r="I321" s="313">
        <f t="shared" si="25"/>
        <v>1243.0649999999998</v>
      </c>
      <c r="J321" s="39">
        <f t="shared" si="28"/>
        <v>75</v>
      </c>
      <c r="K321" s="59" t="s">
        <v>52</v>
      </c>
      <c r="L321" s="25">
        <v>660</v>
      </c>
      <c r="M321" s="82">
        <v>740</v>
      </c>
      <c r="N321" s="313">
        <f t="shared" si="26"/>
        <v>776.26</v>
      </c>
    </row>
    <row r="322" spans="1:14" ht="15" thickBot="1">
      <c r="A322">
        <f t="shared" si="29"/>
        <v>13</v>
      </c>
      <c r="B322" s="4" t="s">
        <v>53</v>
      </c>
      <c r="E322" s="1"/>
      <c r="G322" s="25" t="s">
        <v>208</v>
      </c>
      <c r="H322" s="83" t="s">
        <v>208</v>
      </c>
      <c r="I322" s="313"/>
      <c r="J322" s="39">
        <f t="shared" si="28"/>
        <v>76</v>
      </c>
      <c r="K322" s="59" t="s">
        <v>54</v>
      </c>
      <c r="L322" s="25" t="s">
        <v>192</v>
      </c>
      <c r="M322" s="83" t="s">
        <v>208</v>
      </c>
      <c r="N322" s="313"/>
    </row>
    <row r="323" spans="1:14" ht="15" thickBot="1">
      <c r="A323">
        <f t="shared" si="29"/>
        <v>14</v>
      </c>
      <c r="B323" s="4" t="s">
        <v>55</v>
      </c>
      <c r="E323" s="1"/>
      <c r="G323" s="25">
        <v>755</v>
      </c>
      <c r="H323" s="82">
        <v>585</v>
      </c>
      <c r="I323" s="313">
        <f t="shared" si="25"/>
        <v>613.66499999999996</v>
      </c>
      <c r="J323" s="39">
        <f t="shared" si="28"/>
        <v>77</v>
      </c>
      <c r="K323" s="59" t="s">
        <v>56</v>
      </c>
      <c r="L323" s="25" t="s">
        <v>208</v>
      </c>
      <c r="M323" s="89" t="s">
        <v>209</v>
      </c>
      <c r="N323" s="313"/>
    </row>
    <row r="324" spans="1:14" ht="15" thickBot="1">
      <c r="A324">
        <f t="shared" si="29"/>
        <v>15</v>
      </c>
      <c r="B324" s="4" t="s">
        <v>58</v>
      </c>
      <c r="G324" s="25">
        <v>-500</v>
      </c>
      <c r="H324" s="83" t="s">
        <v>32</v>
      </c>
      <c r="I324" s="313"/>
      <c r="J324" s="39">
        <f t="shared" si="28"/>
        <v>78</v>
      </c>
      <c r="K324" s="59" t="s">
        <v>59</v>
      </c>
      <c r="L324" s="25">
        <v>400</v>
      </c>
      <c r="M324" s="88">
        <v>420</v>
      </c>
      <c r="N324" s="313">
        <f t="shared" si="26"/>
        <v>440.58</v>
      </c>
    </row>
    <row r="325" spans="1:14" ht="15" thickBot="1">
      <c r="A325">
        <f t="shared" si="29"/>
        <v>16</v>
      </c>
      <c r="B325" s="4" t="s">
        <v>60</v>
      </c>
      <c r="G325" s="25">
        <v>60</v>
      </c>
      <c r="H325" s="82">
        <v>75</v>
      </c>
      <c r="I325" s="313">
        <f t="shared" si="25"/>
        <v>78.674999999999997</v>
      </c>
      <c r="J325" s="39">
        <f t="shared" si="28"/>
        <v>79</v>
      </c>
      <c r="K325" s="59" t="s">
        <v>61</v>
      </c>
      <c r="L325" s="25">
        <v>2500</v>
      </c>
      <c r="M325" s="88">
        <v>2625</v>
      </c>
      <c r="N325" s="313">
        <f t="shared" si="26"/>
        <v>2753.625</v>
      </c>
    </row>
    <row r="326" spans="1:14" ht="15" thickBot="1">
      <c r="A326">
        <f t="shared" si="29"/>
        <v>17</v>
      </c>
      <c r="B326" t="s">
        <v>62</v>
      </c>
      <c r="E326" s="1"/>
      <c r="G326" s="25">
        <v>60</v>
      </c>
      <c r="H326" s="82">
        <v>75</v>
      </c>
      <c r="I326" s="313">
        <f t="shared" si="25"/>
        <v>78.674999999999997</v>
      </c>
      <c r="J326" s="39">
        <f t="shared" si="28"/>
        <v>80</v>
      </c>
      <c r="K326" s="59" t="s">
        <v>63</v>
      </c>
      <c r="L326" s="25">
        <v>3100</v>
      </c>
      <c r="M326" s="88">
        <v>3255</v>
      </c>
      <c r="N326" s="313">
        <f t="shared" si="26"/>
        <v>3414.4949999999999</v>
      </c>
    </row>
    <row r="327" spans="1:14" ht="15" thickBot="1">
      <c r="A327">
        <f t="shared" si="29"/>
        <v>18</v>
      </c>
      <c r="B327" t="s">
        <v>64</v>
      </c>
      <c r="E327" s="1"/>
      <c r="G327" s="25">
        <v>90</v>
      </c>
      <c r="H327" s="82">
        <v>135</v>
      </c>
      <c r="I327" s="313">
        <f t="shared" si="25"/>
        <v>141.61499999999998</v>
      </c>
      <c r="J327" s="39">
        <f t="shared" si="28"/>
        <v>81</v>
      </c>
      <c r="K327" s="59" t="s">
        <v>212</v>
      </c>
      <c r="L327" s="25">
        <v>150</v>
      </c>
      <c r="M327" s="89" t="s">
        <v>209</v>
      </c>
      <c r="N327" s="313"/>
    </row>
    <row r="328" spans="1:14" ht="15" thickBot="1">
      <c r="A328">
        <f t="shared" si="29"/>
        <v>19</v>
      </c>
      <c r="B328" t="s">
        <v>66</v>
      </c>
      <c r="E328" s="1"/>
      <c r="G328" s="25">
        <v>70</v>
      </c>
      <c r="H328" s="82">
        <v>95</v>
      </c>
      <c r="I328" s="313">
        <f t="shared" si="25"/>
        <v>99.654999999999987</v>
      </c>
      <c r="J328" s="39">
        <f t="shared" si="28"/>
        <v>82</v>
      </c>
      <c r="K328" s="59" t="s">
        <v>213</v>
      </c>
      <c r="L328" s="25">
        <v>120</v>
      </c>
      <c r="M328" s="82">
        <v>130</v>
      </c>
      <c r="N328" s="313">
        <f t="shared" si="26"/>
        <v>136.37</v>
      </c>
    </row>
    <row r="329" spans="1:14" ht="15" thickBot="1">
      <c r="A329">
        <f t="shared" si="29"/>
        <v>20</v>
      </c>
      <c r="B329" t="s">
        <v>68</v>
      </c>
      <c r="E329" s="1"/>
      <c r="G329" s="25">
        <v>75</v>
      </c>
      <c r="H329" s="82">
        <v>125</v>
      </c>
      <c r="I329" s="313">
        <f t="shared" si="25"/>
        <v>131.125</v>
      </c>
      <c r="J329" s="39">
        <f t="shared" si="28"/>
        <v>83</v>
      </c>
      <c r="K329" s="59" t="s">
        <v>69</v>
      </c>
      <c r="L329" s="25">
        <v>-100</v>
      </c>
      <c r="M329" s="83" t="s">
        <v>209</v>
      </c>
      <c r="N329" s="313"/>
    </row>
    <row r="330" spans="1:14" ht="15" thickBot="1">
      <c r="A330">
        <f t="shared" si="29"/>
        <v>21</v>
      </c>
      <c r="B330" t="s">
        <v>70</v>
      </c>
      <c r="E330" s="1"/>
      <c r="G330" s="25">
        <v>80</v>
      </c>
      <c r="H330" s="82">
        <v>150</v>
      </c>
      <c r="I330" s="313">
        <f t="shared" si="25"/>
        <v>157.35</v>
      </c>
      <c r="J330" s="39">
        <f t="shared" si="28"/>
        <v>84</v>
      </c>
      <c r="K330" s="59" t="s">
        <v>71</v>
      </c>
      <c r="L330" s="25">
        <v>285</v>
      </c>
      <c r="M330" s="82">
        <v>310</v>
      </c>
      <c r="N330" s="313">
        <f t="shared" si="26"/>
        <v>325.19</v>
      </c>
    </row>
    <row r="331" spans="1:14" ht="15" thickBot="1">
      <c r="A331">
        <f t="shared" si="29"/>
        <v>22</v>
      </c>
      <c r="B331" t="s">
        <v>72</v>
      </c>
      <c r="E331" s="1"/>
      <c r="G331" s="25">
        <v>50</v>
      </c>
      <c r="H331" s="82">
        <v>50</v>
      </c>
      <c r="I331" s="313">
        <f t="shared" si="25"/>
        <v>52.449999999999996</v>
      </c>
      <c r="J331" s="39">
        <f t="shared" si="28"/>
        <v>85</v>
      </c>
      <c r="K331" s="59" t="s">
        <v>73</v>
      </c>
      <c r="L331" s="25">
        <v>1060</v>
      </c>
      <c r="M331" s="82">
        <v>1115</v>
      </c>
      <c r="N331" s="313">
        <f t="shared" si="26"/>
        <v>1169.635</v>
      </c>
    </row>
    <row r="332" spans="1:14" ht="15" thickBot="1">
      <c r="A332">
        <f t="shared" si="29"/>
        <v>23</v>
      </c>
      <c r="B332" t="s">
        <v>74</v>
      </c>
      <c r="E332" s="1"/>
      <c r="G332" s="25">
        <v>100</v>
      </c>
      <c r="H332" s="82">
        <v>120</v>
      </c>
      <c r="I332" s="313">
        <f t="shared" si="25"/>
        <v>125.88</v>
      </c>
      <c r="J332" s="39">
        <f t="shared" si="28"/>
        <v>86</v>
      </c>
      <c r="K332" s="59" t="s">
        <v>75</v>
      </c>
      <c r="L332" s="25">
        <v>80</v>
      </c>
      <c r="M332" s="82">
        <v>85</v>
      </c>
      <c r="N332" s="313">
        <f t="shared" si="26"/>
        <v>89.164999999999992</v>
      </c>
    </row>
    <row r="333" spans="1:14" ht="15" thickBot="1">
      <c r="A333">
        <f t="shared" si="29"/>
        <v>24</v>
      </c>
      <c r="B333" t="s">
        <v>76</v>
      </c>
      <c r="E333" s="1"/>
      <c r="G333" s="25">
        <v>1600</v>
      </c>
      <c r="H333" s="83" t="s">
        <v>209</v>
      </c>
      <c r="I333" s="313"/>
      <c r="J333" s="39">
        <f t="shared" si="28"/>
        <v>87</v>
      </c>
      <c r="K333" s="59" t="s">
        <v>78</v>
      </c>
      <c r="L333" s="25">
        <v>460</v>
      </c>
      <c r="M333" s="82">
        <v>485</v>
      </c>
      <c r="N333" s="313">
        <f t="shared" si="26"/>
        <v>508.76499999999999</v>
      </c>
    </row>
    <row r="334" spans="1:14" ht="15" thickBot="1">
      <c r="A334">
        <f t="shared" si="29"/>
        <v>25</v>
      </c>
      <c r="B334" s="4" t="s">
        <v>79</v>
      </c>
      <c r="E334" s="1"/>
      <c r="G334" s="25">
        <v>505</v>
      </c>
      <c r="H334" s="82">
        <v>530</v>
      </c>
      <c r="I334" s="313">
        <f t="shared" si="25"/>
        <v>555.96999999999991</v>
      </c>
      <c r="J334" s="39">
        <f t="shared" si="28"/>
        <v>88</v>
      </c>
      <c r="K334" s="59" t="s">
        <v>80</v>
      </c>
      <c r="L334" s="25">
        <v>60</v>
      </c>
      <c r="M334" s="82">
        <v>65</v>
      </c>
      <c r="N334" s="313">
        <f t="shared" si="26"/>
        <v>68.185000000000002</v>
      </c>
    </row>
    <row r="335" spans="1:14" ht="15" thickBot="1">
      <c r="A335">
        <f t="shared" si="29"/>
        <v>26</v>
      </c>
      <c r="B335" s="4" t="s">
        <v>81</v>
      </c>
      <c r="G335" s="25">
        <v>505</v>
      </c>
      <c r="H335" s="82">
        <v>530</v>
      </c>
      <c r="I335" s="313">
        <f t="shared" si="25"/>
        <v>555.96999999999991</v>
      </c>
      <c r="J335" s="39">
        <f t="shared" si="28"/>
        <v>89</v>
      </c>
      <c r="K335" s="59" t="s">
        <v>82</v>
      </c>
      <c r="L335" s="25">
        <v>150</v>
      </c>
      <c r="M335" s="82">
        <v>160</v>
      </c>
      <c r="N335" s="313">
        <f t="shared" si="26"/>
        <v>167.83999999999997</v>
      </c>
    </row>
    <row r="336" spans="1:14" ht="15" thickBot="1">
      <c r="A336">
        <f t="shared" si="29"/>
        <v>27</v>
      </c>
      <c r="B336" s="4" t="s">
        <v>83</v>
      </c>
      <c r="G336" s="25">
        <v>150</v>
      </c>
      <c r="H336" s="82">
        <v>250</v>
      </c>
      <c r="I336" s="313">
        <f t="shared" si="25"/>
        <v>262.25</v>
      </c>
      <c r="J336" s="39">
        <f t="shared" si="28"/>
        <v>90</v>
      </c>
      <c r="K336" s="59" t="s">
        <v>84</v>
      </c>
      <c r="L336" s="25">
        <v>75</v>
      </c>
      <c r="M336" s="82">
        <v>100</v>
      </c>
      <c r="N336" s="313">
        <f t="shared" si="26"/>
        <v>104.89999999999999</v>
      </c>
    </row>
    <row r="337" spans="1:18" ht="15" thickBot="1">
      <c r="A337">
        <f t="shared" si="29"/>
        <v>28</v>
      </c>
      <c r="B337" s="4" t="s">
        <v>85</v>
      </c>
      <c r="G337" s="25">
        <v>505</v>
      </c>
      <c r="H337" s="82">
        <v>705</v>
      </c>
      <c r="I337" s="313">
        <f t="shared" si="25"/>
        <v>739.54499999999996</v>
      </c>
      <c r="J337" s="39">
        <f t="shared" si="28"/>
        <v>91</v>
      </c>
      <c r="K337" s="59" t="s">
        <v>86</v>
      </c>
      <c r="L337" s="25">
        <v>800</v>
      </c>
      <c r="M337" s="82">
        <v>1055</v>
      </c>
      <c r="N337" s="313">
        <f t="shared" si="26"/>
        <v>1106.6949999999999</v>
      </c>
    </row>
    <row r="338" spans="1:18" ht="15" thickBot="1">
      <c r="A338">
        <f t="shared" si="29"/>
        <v>29</v>
      </c>
      <c r="B338" s="4" t="s">
        <v>87</v>
      </c>
      <c r="G338" s="25">
        <v>530</v>
      </c>
      <c r="H338" s="82">
        <v>745</v>
      </c>
      <c r="I338" s="313">
        <f t="shared" si="25"/>
        <v>781.505</v>
      </c>
      <c r="J338" s="39">
        <f t="shared" si="28"/>
        <v>92</v>
      </c>
      <c r="K338" s="59" t="s">
        <v>88</v>
      </c>
      <c r="L338" s="25">
        <v>525</v>
      </c>
      <c r="M338" s="82">
        <v>800</v>
      </c>
      <c r="N338" s="313">
        <f t="shared" si="26"/>
        <v>839.19999999999993</v>
      </c>
    </row>
    <row r="339" spans="1:18" ht="15" thickBot="1">
      <c r="A339">
        <f t="shared" si="29"/>
        <v>30</v>
      </c>
      <c r="B339" s="4" t="s">
        <v>89</v>
      </c>
      <c r="G339" s="25">
        <v>775</v>
      </c>
      <c r="H339" s="82">
        <v>1080</v>
      </c>
      <c r="I339" s="313">
        <f t="shared" si="25"/>
        <v>1132.9199999999998</v>
      </c>
      <c r="J339" s="39">
        <f t="shared" si="28"/>
        <v>93</v>
      </c>
      <c r="K339" s="39" t="s">
        <v>90</v>
      </c>
      <c r="L339" s="25">
        <v>350</v>
      </c>
      <c r="M339" s="82">
        <v>400</v>
      </c>
      <c r="N339" s="313">
        <f t="shared" si="26"/>
        <v>419.59999999999997</v>
      </c>
    </row>
    <row r="340" spans="1:18" ht="15" thickBot="1">
      <c r="A340">
        <f t="shared" si="29"/>
        <v>31</v>
      </c>
      <c r="B340" t="s">
        <v>91</v>
      </c>
      <c r="G340" s="25">
        <v>-100</v>
      </c>
      <c r="H340" s="82">
        <v>-100</v>
      </c>
      <c r="I340" s="313">
        <f t="shared" si="25"/>
        <v>-104.89999999999999</v>
      </c>
      <c r="J340" s="39">
        <f t="shared" si="28"/>
        <v>94</v>
      </c>
      <c r="K340" s="59" t="s">
        <v>92</v>
      </c>
      <c r="L340" s="25">
        <v>450</v>
      </c>
      <c r="M340" s="82">
        <v>495</v>
      </c>
      <c r="N340" s="313">
        <f t="shared" si="26"/>
        <v>519.255</v>
      </c>
    </row>
    <row r="341" spans="1:18" ht="15" thickBot="1">
      <c r="A341">
        <f t="shared" si="29"/>
        <v>32</v>
      </c>
      <c r="B341" t="s">
        <v>93</v>
      </c>
      <c r="G341" s="25">
        <v>-100</v>
      </c>
      <c r="H341" s="82">
        <v>-100</v>
      </c>
      <c r="I341" s="313">
        <f t="shared" si="25"/>
        <v>-104.89999999999999</v>
      </c>
      <c r="J341" s="39">
        <f t="shared" si="28"/>
        <v>95</v>
      </c>
      <c r="K341" s="39" t="s">
        <v>94</v>
      </c>
      <c r="L341" s="25">
        <v>165</v>
      </c>
      <c r="M341" s="82">
        <v>182</v>
      </c>
      <c r="N341" s="313">
        <f t="shared" si="26"/>
        <v>190.91799999999998</v>
      </c>
    </row>
    <row r="342" spans="1:18" ht="15" thickBot="1">
      <c r="A342">
        <f t="shared" si="29"/>
        <v>33</v>
      </c>
      <c r="B342" t="s">
        <v>95</v>
      </c>
      <c r="G342" s="25">
        <v>1600</v>
      </c>
      <c r="H342" s="82">
        <v>1920</v>
      </c>
      <c r="I342" s="313">
        <f t="shared" si="25"/>
        <v>2014.08</v>
      </c>
      <c r="J342" s="39">
        <f t="shared" si="28"/>
        <v>96</v>
      </c>
      <c r="K342" s="39" t="s">
        <v>96</v>
      </c>
      <c r="L342" s="25">
        <v>4380</v>
      </c>
      <c r="M342" s="82">
        <v>4600</v>
      </c>
      <c r="N342" s="313">
        <f t="shared" si="26"/>
        <v>4825.3999999999996</v>
      </c>
    </row>
    <row r="343" spans="1:18" ht="15" thickBot="1">
      <c r="A343">
        <f t="shared" si="29"/>
        <v>34</v>
      </c>
      <c r="B343" t="s">
        <v>97</v>
      </c>
      <c r="G343" s="25">
        <v>2880</v>
      </c>
      <c r="H343" s="82">
        <v>3600</v>
      </c>
      <c r="I343" s="313">
        <f t="shared" si="25"/>
        <v>3776.3999999999996</v>
      </c>
      <c r="J343" s="39">
        <f t="shared" si="28"/>
        <v>97</v>
      </c>
      <c r="K343" s="39" t="s">
        <v>201</v>
      </c>
      <c r="L343" s="25"/>
      <c r="M343" s="82"/>
      <c r="N343" s="313">
        <f t="shared" si="26"/>
        <v>0</v>
      </c>
    </row>
    <row r="344" spans="1:18" ht="15" thickBot="1">
      <c r="A344">
        <f t="shared" si="29"/>
        <v>35</v>
      </c>
      <c r="B344" t="s">
        <v>219</v>
      </c>
      <c r="G344" s="25" t="s">
        <v>209</v>
      </c>
      <c r="H344" s="83" t="s">
        <v>209</v>
      </c>
      <c r="I344" s="313"/>
      <c r="J344" s="39">
        <f t="shared" si="28"/>
        <v>98</v>
      </c>
      <c r="K344" s="59" t="s">
        <v>100</v>
      </c>
      <c r="L344" s="25">
        <v>3005</v>
      </c>
      <c r="M344" s="82">
        <v>3155</v>
      </c>
      <c r="N344" s="313">
        <f t="shared" si="26"/>
        <v>3309.5949999999998</v>
      </c>
    </row>
    <row r="345" spans="1:18" ht="15" thickBot="1">
      <c r="A345">
        <f t="shared" si="29"/>
        <v>36</v>
      </c>
      <c r="B345" t="s">
        <v>101</v>
      </c>
      <c r="G345" s="25" t="s">
        <v>209</v>
      </c>
      <c r="H345" s="83" t="s">
        <v>209</v>
      </c>
      <c r="I345" s="313"/>
      <c r="J345" s="39">
        <f t="shared" si="28"/>
        <v>99</v>
      </c>
      <c r="K345" s="59" t="s">
        <v>102</v>
      </c>
      <c r="L345" s="25">
        <v>6600</v>
      </c>
      <c r="M345" s="82">
        <v>7155</v>
      </c>
      <c r="N345" s="313">
        <f t="shared" si="26"/>
        <v>7505.5949999999993</v>
      </c>
      <c r="R345" s="4"/>
    </row>
    <row r="346" spans="1:18" ht="15" thickBot="1">
      <c r="A346">
        <f t="shared" si="29"/>
        <v>37</v>
      </c>
      <c r="B346" t="s">
        <v>103</v>
      </c>
      <c r="G346" s="25">
        <v>30</v>
      </c>
      <c r="H346" s="82">
        <v>30</v>
      </c>
      <c r="I346" s="313">
        <f t="shared" si="25"/>
        <v>31.47</v>
      </c>
      <c r="J346" s="39">
        <f t="shared" si="28"/>
        <v>100</v>
      </c>
      <c r="K346" s="59" t="s">
        <v>104</v>
      </c>
      <c r="L346" s="25">
        <v>8000</v>
      </c>
      <c r="M346" s="82">
        <v>8800</v>
      </c>
      <c r="N346" s="313">
        <f t="shared" si="26"/>
        <v>9231.1999999999989</v>
      </c>
      <c r="R346" s="4"/>
    </row>
    <row r="347" spans="1:18" ht="15" thickBot="1">
      <c r="A347">
        <f t="shared" si="29"/>
        <v>38</v>
      </c>
      <c r="B347" t="s">
        <v>105</v>
      </c>
      <c r="G347" s="25">
        <v>30</v>
      </c>
      <c r="H347" s="82">
        <v>30</v>
      </c>
      <c r="I347" s="313">
        <f t="shared" si="25"/>
        <v>31.47</v>
      </c>
      <c r="J347" s="39">
        <f t="shared" si="28"/>
        <v>101</v>
      </c>
      <c r="K347" s="39" t="s">
        <v>106</v>
      </c>
      <c r="L347" s="25">
        <v>6640</v>
      </c>
      <c r="M347" s="82">
        <v>6640</v>
      </c>
      <c r="N347" s="313">
        <f t="shared" si="26"/>
        <v>6965.36</v>
      </c>
      <c r="O347" s="10"/>
      <c r="R347" s="4"/>
    </row>
    <row r="348" spans="1:18" ht="15" thickBot="1">
      <c r="A348">
        <f t="shared" si="29"/>
        <v>39</v>
      </c>
      <c r="B348" t="s">
        <v>107</v>
      </c>
      <c r="G348" s="25">
        <v>-10</v>
      </c>
      <c r="H348" s="82">
        <v>-10</v>
      </c>
      <c r="I348" s="313">
        <f t="shared" si="25"/>
        <v>-10.489999999999998</v>
      </c>
      <c r="J348" s="39">
        <f t="shared" si="28"/>
        <v>102</v>
      </c>
      <c r="K348" s="59" t="s">
        <v>108</v>
      </c>
      <c r="L348" s="25" t="s">
        <v>57</v>
      </c>
      <c r="M348" s="83" t="s">
        <v>208</v>
      </c>
      <c r="N348" s="313"/>
      <c r="O348" s="11"/>
      <c r="R348" s="4"/>
    </row>
    <row r="349" spans="1:18" ht="15" thickBot="1">
      <c r="A349">
        <f t="shared" si="29"/>
        <v>40</v>
      </c>
      <c r="B349" t="s">
        <v>109</v>
      </c>
      <c r="G349" s="25">
        <v>800</v>
      </c>
      <c r="H349" s="82">
        <v>800</v>
      </c>
      <c r="I349" s="313">
        <f t="shared" si="25"/>
        <v>839.19999999999993</v>
      </c>
      <c r="J349" s="39">
        <f t="shared" si="28"/>
        <v>103</v>
      </c>
      <c r="K349" s="59" t="s">
        <v>110</v>
      </c>
      <c r="L349" s="25">
        <v>875</v>
      </c>
      <c r="M349" s="82">
        <v>875</v>
      </c>
      <c r="N349" s="313">
        <f t="shared" si="26"/>
        <v>917.87499999999989</v>
      </c>
      <c r="O349" s="10"/>
      <c r="R349" s="4"/>
    </row>
    <row r="350" spans="1:18" ht="15" thickBot="1">
      <c r="A350">
        <f t="shared" si="29"/>
        <v>41</v>
      </c>
      <c r="B350" t="s">
        <v>111</v>
      </c>
      <c r="G350" s="25">
        <v>1100</v>
      </c>
      <c r="H350" s="83" t="s">
        <v>209</v>
      </c>
      <c r="I350" s="313"/>
      <c r="J350" s="39">
        <f t="shared" si="28"/>
        <v>104</v>
      </c>
      <c r="K350" s="59" t="s">
        <v>112</v>
      </c>
      <c r="L350" s="25" t="s">
        <v>209</v>
      </c>
      <c r="M350" s="83" t="s">
        <v>209</v>
      </c>
      <c r="N350" s="313"/>
      <c r="R350" s="4"/>
    </row>
    <row r="351" spans="1:18" ht="15" thickBot="1">
      <c r="A351">
        <f t="shared" si="29"/>
        <v>42</v>
      </c>
      <c r="B351" s="4" t="s">
        <v>113</v>
      </c>
      <c r="G351" s="25">
        <v>350</v>
      </c>
      <c r="H351" s="194">
        <v>300</v>
      </c>
      <c r="I351" s="313">
        <f t="shared" si="25"/>
        <v>314.7</v>
      </c>
      <c r="J351" s="39">
        <f t="shared" si="28"/>
        <v>105</v>
      </c>
      <c r="K351" s="39" t="s">
        <v>114</v>
      </c>
      <c r="L351" s="25">
        <v>4520</v>
      </c>
      <c r="M351" s="82">
        <v>5275</v>
      </c>
      <c r="N351" s="313">
        <f t="shared" si="26"/>
        <v>5533.4749999999995</v>
      </c>
      <c r="R351" s="4"/>
    </row>
    <row r="352" spans="1:18" ht="15" thickBot="1">
      <c r="A352">
        <f t="shared" si="29"/>
        <v>43</v>
      </c>
      <c r="B352" s="4" t="s">
        <v>115</v>
      </c>
      <c r="G352" s="25" t="s">
        <v>209</v>
      </c>
      <c r="H352" s="83" t="s">
        <v>209</v>
      </c>
      <c r="I352" s="313"/>
      <c r="J352" s="39">
        <f t="shared" si="28"/>
        <v>106</v>
      </c>
      <c r="K352" s="39" t="s">
        <v>116</v>
      </c>
      <c r="L352" s="25">
        <v>6875</v>
      </c>
      <c r="M352" s="82">
        <v>7370</v>
      </c>
      <c r="N352" s="313">
        <f t="shared" si="26"/>
        <v>7731.1299999999992</v>
      </c>
      <c r="R352" s="4"/>
    </row>
    <row r="353" spans="1:19" ht="15" thickBot="1">
      <c r="A353">
        <f t="shared" si="29"/>
        <v>44</v>
      </c>
      <c r="B353" s="4" t="s">
        <v>220</v>
      </c>
      <c r="G353" s="25">
        <v>0</v>
      </c>
      <c r="H353" s="82">
        <v>0</v>
      </c>
      <c r="I353" s="313">
        <f t="shared" si="25"/>
        <v>0</v>
      </c>
      <c r="J353" s="39">
        <f t="shared" si="28"/>
        <v>107</v>
      </c>
      <c r="K353" s="39" t="s">
        <v>118</v>
      </c>
      <c r="L353" s="25">
        <v>9500</v>
      </c>
      <c r="M353" s="82">
        <v>10055</v>
      </c>
      <c r="N353" s="313">
        <f t="shared" si="26"/>
        <v>10547.695</v>
      </c>
      <c r="R353" s="4"/>
    </row>
    <row r="354" spans="1:19" ht="15" thickBot="1">
      <c r="A354">
        <f t="shared" si="29"/>
        <v>45</v>
      </c>
      <c r="B354" t="s">
        <v>119</v>
      </c>
      <c r="G354" s="25">
        <v>250</v>
      </c>
      <c r="H354" s="82">
        <v>400</v>
      </c>
      <c r="I354" s="313">
        <f t="shared" si="25"/>
        <v>419.59999999999997</v>
      </c>
      <c r="J354" s="39">
        <f t="shared" si="28"/>
        <v>108</v>
      </c>
      <c r="K354" s="39" t="s">
        <v>120</v>
      </c>
      <c r="L354" s="25">
        <v>500</v>
      </c>
      <c r="M354" s="82">
        <v>500</v>
      </c>
      <c r="N354" s="313">
        <f t="shared" si="26"/>
        <v>524.5</v>
      </c>
      <c r="R354" s="4"/>
    </row>
    <row r="355" spans="1:19" ht="15" thickBot="1">
      <c r="A355">
        <f t="shared" si="29"/>
        <v>46</v>
      </c>
      <c r="B355" t="s">
        <v>121</v>
      </c>
      <c r="G355" s="25">
        <v>40</v>
      </c>
      <c r="H355" s="82">
        <v>50</v>
      </c>
      <c r="I355" s="313">
        <f t="shared" si="25"/>
        <v>52.449999999999996</v>
      </c>
      <c r="J355" s="39">
        <f t="shared" si="28"/>
        <v>109</v>
      </c>
      <c r="K355" s="39" t="s">
        <v>122</v>
      </c>
      <c r="L355" s="25">
        <v>3665</v>
      </c>
      <c r="M355" s="82">
        <v>3665</v>
      </c>
      <c r="N355" s="313">
        <f t="shared" si="26"/>
        <v>3844.5849999999996</v>
      </c>
      <c r="R355" s="4"/>
    </row>
    <row r="356" spans="1:19" ht="15" thickBot="1">
      <c r="A356">
        <f t="shared" si="29"/>
        <v>47</v>
      </c>
      <c r="B356" t="s">
        <v>123</v>
      </c>
      <c r="G356" s="25">
        <v>80</v>
      </c>
      <c r="H356" s="82">
        <v>170</v>
      </c>
      <c r="I356" s="313">
        <f t="shared" si="25"/>
        <v>178.32999999999998</v>
      </c>
      <c r="J356" s="39">
        <f t="shared" si="28"/>
        <v>110</v>
      </c>
      <c r="K356" s="39" t="s">
        <v>124</v>
      </c>
      <c r="L356" s="25">
        <v>4200</v>
      </c>
      <c r="M356" s="82">
        <v>5265</v>
      </c>
      <c r="N356" s="313">
        <f t="shared" si="26"/>
        <v>5522.9849999999997</v>
      </c>
      <c r="R356" s="4"/>
    </row>
    <row r="357" spans="1:19" ht="15" thickBot="1">
      <c r="A357">
        <f t="shared" si="29"/>
        <v>48</v>
      </c>
      <c r="B357" t="s">
        <v>125</v>
      </c>
      <c r="G357" s="25">
        <v>395</v>
      </c>
      <c r="H357" s="82">
        <v>460</v>
      </c>
      <c r="I357" s="313">
        <f t="shared" si="25"/>
        <v>482.53999999999996</v>
      </c>
      <c r="J357" s="39">
        <f t="shared" si="28"/>
        <v>111</v>
      </c>
      <c r="K357" s="39" t="s">
        <v>126</v>
      </c>
      <c r="L357" s="25">
        <v>5450</v>
      </c>
      <c r="M357" s="82">
        <v>5725</v>
      </c>
      <c r="N357" s="313">
        <f t="shared" si="26"/>
        <v>6005.5249999999996</v>
      </c>
      <c r="R357" s="4"/>
    </row>
    <row r="358" spans="1:19" ht="15" thickBot="1">
      <c r="A358">
        <f t="shared" si="29"/>
        <v>49</v>
      </c>
      <c r="B358" t="s">
        <v>127</v>
      </c>
      <c r="G358" s="25">
        <v>160</v>
      </c>
      <c r="H358" s="82">
        <v>200</v>
      </c>
      <c r="I358" s="313">
        <f t="shared" si="25"/>
        <v>209.79999999999998</v>
      </c>
      <c r="J358" s="39">
        <f t="shared" si="28"/>
        <v>112</v>
      </c>
      <c r="K358" s="39" t="s">
        <v>128</v>
      </c>
      <c r="L358" s="25">
        <v>6000</v>
      </c>
      <c r="M358" s="82">
        <v>5985</v>
      </c>
      <c r="N358" s="313">
        <f t="shared" si="26"/>
        <v>6278.2649999999994</v>
      </c>
      <c r="R358" s="4"/>
    </row>
    <row r="359" spans="1:19" ht="15" thickBot="1">
      <c r="A359">
        <f t="shared" si="29"/>
        <v>50</v>
      </c>
      <c r="B359" s="4" t="s">
        <v>129</v>
      </c>
      <c r="G359" s="25">
        <v>7500</v>
      </c>
      <c r="H359" s="82">
        <v>7470</v>
      </c>
      <c r="I359" s="313">
        <f t="shared" si="25"/>
        <v>7836.03</v>
      </c>
      <c r="J359" s="39">
        <f t="shared" si="28"/>
        <v>113</v>
      </c>
      <c r="K359" s="59" t="s">
        <v>130</v>
      </c>
      <c r="L359" s="25">
        <v>3525</v>
      </c>
      <c r="M359" s="82">
        <v>3650</v>
      </c>
      <c r="N359" s="313">
        <f t="shared" si="26"/>
        <v>3828.85</v>
      </c>
      <c r="R359" s="4"/>
    </row>
    <row r="360" spans="1:19" ht="15" thickBot="1">
      <c r="A360">
        <f t="shared" si="29"/>
        <v>51</v>
      </c>
      <c r="B360" s="4" t="s">
        <v>131</v>
      </c>
      <c r="G360" s="25">
        <v>1115</v>
      </c>
      <c r="H360" s="82">
        <v>1115</v>
      </c>
      <c r="I360" s="313">
        <f t="shared" si="25"/>
        <v>1169.635</v>
      </c>
      <c r="J360" s="39">
        <f t="shared" si="28"/>
        <v>114</v>
      </c>
      <c r="K360" s="59" t="s">
        <v>132</v>
      </c>
      <c r="L360" s="25">
        <v>4345</v>
      </c>
      <c r="M360" s="82">
        <v>5482</v>
      </c>
      <c r="N360" s="313">
        <f t="shared" si="26"/>
        <v>5750.6179999999995</v>
      </c>
      <c r="R360" s="4"/>
    </row>
    <row r="361" spans="1:19" ht="15" thickBot="1">
      <c r="A361">
        <f t="shared" si="29"/>
        <v>52</v>
      </c>
      <c r="B361" s="4" t="s">
        <v>133</v>
      </c>
      <c r="G361" s="25">
        <v>7395</v>
      </c>
      <c r="H361" s="82">
        <v>7365</v>
      </c>
      <c r="I361" s="313">
        <f t="shared" si="25"/>
        <v>7725.8849999999993</v>
      </c>
      <c r="J361" s="39">
        <f t="shared" si="28"/>
        <v>115</v>
      </c>
      <c r="K361" s="59" t="s">
        <v>134</v>
      </c>
      <c r="L361" s="25">
        <v>1500</v>
      </c>
      <c r="M361" s="82">
        <v>1750</v>
      </c>
      <c r="N361" s="313">
        <f t="shared" si="26"/>
        <v>1835.7499999999998</v>
      </c>
      <c r="R361" s="4"/>
    </row>
    <row r="362" spans="1:19" ht="15" thickBot="1">
      <c r="A362">
        <f t="shared" si="29"/>
        <v>53</v>
      </c>
      <c r="B362" s="4" t="s">
        <v>135</v>
      </c>
      <c r="G362" s="25">
        <v>7460</v>
      </c>
      <c r="H362" s="82">
        <v>7430</v>
      </c>
      <c r="I362" s="313">
        <f t="shared" si="25"/>
        <v>7794.07</v>
      </c>
      <c r="J362" s="39">
        <f t="shared" si="28"/>
        <v>116</v>
      </c>
      <c r="K362" s="59" t="s">
        <v>136</v>
      </c>
      <c r="L362" s="25">
        <v>750</v>
      </c>
      <c r="M362" s="82">
        <v>1000</v>
      </c>
      <c r="N362" s="313">
        <f t="shared" si="26"/>
        <v>1049</v>
      </c>
      <c r="R362" s="4"/>
    </row>
    <row r="363" spans="1:19" ht="15" thickBot="1">
      <c r="A363">
        <f t="shared" si="29"/>
        <v>54</v>
      </c>
      <c r="B363" s="4" t="s">
        <v>137</v>
      </c>
      <c r="G363" s="25">
        <v>675</v>
      </c>
      <c r="H363" s="83" t="s">
        <v>699</v>
      </c>
      <c r="I363" s="313"/>
      <c r="J363" s="39">
        <f t="shared" si="28"/>
        <v>117</v>
      </c>
      <c r="K363" s="39" t="s">
        <v>138</v>
      </c>
      <c r="L363" s="25">
        <v>5530</v>
      </c>
      <c r="M363" s="82">
        <v>6040</v>
      </c>
      <c r="N363" s="313">
        <f t="shared" si="26"/>
        <v>6335.96</v>
      </c>
      <c r="R363" s="4"/>
    </row>
    <row r="364" spans="1:19" ht="15" thickBot="1">
      <c r="A364">
        <f t="shared" si="29"/>
        <v>55</v>
      </c>
      <c r="B364" s="4" t="s">
        <v>139</v>
      </c>
      <c r="G364" s="25">
        <v>2825</v>
      </c>
      <c r="H364" s="82">
        <v>2795</v>
      </c>
      <c r="I364" s="313">
        <f t="shared" si="25"/>
        <v>2931.9549999999999</v>
      </c>
      <c r="J364" s="39">
        <f t="shared" si="28"/>
        <v>118</v>
      </c>
      <c r="K364" s="39" t="s">
        <v>140</v>
      </c>
      <c r="L364" s="25">
        <v>1940</v>
      </c>
      <c r="M364" s="82">
        <v>2200</v>
      </c>
      <c r="N364" s="313">
        <f t="shared" si="26"/>
        <v>2307.7999999999997</v>
      </c>
      <c r="R364" s="4"/>
    </row>
    <row r="365" spans="1:19" ht="15" thickBot="1">
      <c r="A365">
        <f t="shared" si="29"/>
        <v>56</v>
      </c>
      <c r="B365" s="4" t="s">
        <v>141</v>
      </c>
      <c r="G365" s="25">
        <v>4240</v>
      </c>
      <c r="H365" s="82">
        <v>4210</v>
      </c>
      <c r="I365" s="313">
        <f t="shared" si="25"/>
        <v>4416.29</v>
      </c>
      <c r="J365" s="39">
        <f t="shared" si="28"/>
        <v>119</v>
      </c>
      <c r="K365" s="39" t="s">
        <v>142</v>
      </c>
      <c r="L365" s="25" t="s">
        <v>209</v>
      </c>
      <c r="M365" s="83" t="s">
        <v>209</v>
      </c>
      <c r="N365" s="313"/>
      <c r="R365" s="4"/>
    </row>
    <row r="366" spans="1:19" ht="15" thickBot="1">
      <c r="A366">
        <f t="shared" si="29"/>
        <v>57</v>
      </c>
      <c r="B366" s="4" t="s">
        <v>143</v>
      </c>
      <c r="G366" s="25">
        <v>5015</v>
      </c>
      <c r="H366" s="82">
        <v>4985</v>
      </c>
      <c r="I366" s="313">
        <f t="shared" si="25"/>
        <v>5229.2649999999994</v>
      </c>
      <c r="J366" s="39">
        <f t="shared" si="28"/>
        <v>120</v>
      </c>
      <c r="K366" s="59" t="s">
        <v>144</v>
      </c>
      <c r="L366" s="25">
        <v>4345</v>
      </c>
      <c r="M366" s="82">
        <v>5240</v>
      </c>
      <c r="N366" s="313">
        <f t="shared" si="26"/>
        <v>5496.7599999999993</v>
      </c>
      <c r="R366" s="4"/>
    </row>
    <row r="367" spans="1:19" ht="15" thickBot="1">
      <c r="A367">
        <f t="shared" si="29"/>
        <v>58</v>
      </c>
      <c r="B367" s="4" t="s">
        <v>145</v>
      </c>
      <c r="G367" s="25">
        <v>8745</v>
      </c>
      <c r="H367" s="82">
        <v>8715</v>
      </c>
      <c r="I367" s="313">
        <f t="shared" si="25"/>
        <v>9142.0349999999999</v>
      </c>
      <c r="J367" s="39">
        <f t="shared" si="28"/>
        <v>121</v>
      </c>
      <c r="K367" s="60" t="s">
        <v>146</v>
      </c>
      <c r="L367" s="25">
        <v>6600</v>
      </c>
      <c r="M367" s="82">
        <v>9445</v>
      </c>
      <c r="N367" s="313">
        <f t="shared" si="26"/>
        <v>9907.8049999999985</v>
      </c>
      <c r="R367" s="4"/>
      <c r="S367" s="4"/>
    </row>
    <row r="368" spans="1:19" ht="15" thickBot="1">
      <c r="A368">
        <f t="shared" si="29"/>
        <v>59</v>
      </c>
      <c r="B368" s="4" t="s">
        <v>147</v>
      </c>
      <c r="G368" s="25">
        <v>10230</v>
      </c>
      <c r="H368" s="82">
        <v>10200</v>
      </c>
      <c r="I368" s="313">
        <f t="shared" si="25"/>
        <v>10699.8</v>
      </c>
      <c r="J368" s="39">
        <f t="shared" si="28"/>
        <v>122</v>
      </c>
      <c r="K368" s="59" t="s">
        <v>148</v>
      </c>
      <c r="L368" s="25">
        <v>1620</v>
      </c>
      <c r="M368" s="83">
        <v>1750</v>
      </c>
      <c r="N368" s="313">
        <f t="shared" si="26"/>
        <v>1835.7499999999998</v>
      </c>
      <c r="R368" s="4"/>
      <c r="S368" s="4"/>
    </row>
    <row r="369" spans="1:19" ht="15" thickBot="1">
      <c r="A369">
        <f t="shared" si="29"/>
        <v>60</v>
      </c>
      <c r="B369" s="4" t="s">
        <v>149</v>
      </c>
      <c r="G369" s="25">
        <v>1280</v>
      </c>
      <c r="H369" s="83" t="s">
        <v>32</v>
      </c>
      <c r="I369" s="313"/>
      <c r="J369" s="39">
        <f t="shared" si="28"/>
        <v>123</v>
      </c>
      <c r="K369" s="39" t="s">
        <v>150</v>
      </c>
      <c r="L369" s="25">
        <v>605</v>
      </c>
      <c r="M369" s="88">
        <v>800</v>
      </c>
      <c r="N369" s="313">
        <f t="shared" si="26"/>
        <v>839.19999999999993</v>
      </c>
      <c r="R369" s="4"/>
      <c r="S369" s="4"/>
    </row>
    <row r="370" spans="1:19" ht="15" thickBot="1">
      <c r="A370">
        <f t="shared" si="29"/>
        <v>61</v>
      </c>
      <c r="B370" s="4" t="s">
        <v>151</v>
      </c>
      <c r="G370" s="25">
        <v>1980</v>
      </c>
      <c r="H370" s="83" t="s">
        <v>32</v>
      </c>
      <c r="I370" s="313"/>
      <c r="J370" s="39">
        <f t="shared" si="28"/>
        <v>124</v>
      </c>
      <c r="K370" s="39" t="s">
        <v>152</v>
      </c>
      <c r="L370" s="25">
        <v>605</v>
      </c>
      <c r="M370" s="88">
        <v>800</v>
      </c>
      <c r="N370" s="313">
        <f t="shared" si="26"/>
        <v>839.19999999999993</v>
      </c>
      <c r="R370" s="4"/>
      <c r="S370" s="4"/>
    </row>
    <row r="371" spans="1:19" ht="15" thickBot="1">
      <c r="A371">
        <f t="shared" si="29"/>
        <v>62</v>
      </c>
      <c r="B371" s="4" t="s">
        <v>153</v>
      </c>
      <c r="G371" s="25">
        <v>2445</v>
      </c>
      <c r="H371" s="83" t="s">
        <v>32</v>
      </c>
      <c r="I371" s="313"/>
      <c r="J371" s="39">
        <f t="shared" si="28"/>
        <v>125</v>
      </c>
      <c r="K371" s="39" t="s">
        <v>154</v>
      </c>
      <c r="L371" s="25">
        <v>880</v>
      </c>
      <c r="M371" s="88">
        <v>1150</v>
      </c>
      <c r="N371" s="313">
        <f t="shared" si="26"/>
        <v>1206.3499999999999</v>
      </c>
      <c r="R371" s="4"/>
      <c r="S371" s="4"/>
    </row>
    <row r="372" spans="1:19" ht="15" thickBot="1">
      <c r="A372">
        <f t="shared" si="29"/>
        <v>63</v>
      </c>
      <c r="B372" s="4" t="s">
        <v>155</v>
      </c>
      <c r="G372" s="25">
        <v>4330</v>
      </c>
      <c r="H372" s="83" t="s">
        <v>32</v>
      </c>
      <c r="I372" s="313"/>
      <c r="J372" s="39">
        <f t="shared" si="28"/>
        <v>126</v>
      </c>
      <c r="K372" s="39" t="s">
        <v>156</v>
      </c>
      <c r="L372" s="25">
        <v>605</v>
      </c>
      <c r="M372" s="88">
        <v>800</v>
      </c>
      <c r="N372" s="313">
        <f t="shared" si="26"/>
        <v>839.19999999999993</v>
      </c>
      <c r="R372" s="4"/>
      <c r="S372" s="4"/>
    </row>
    <row r="373" spans="1:19" ht="15" thickBot="1">
      <c r="G373" s="39"/>
      <c r="H373" s="39"/>
      <c r="J373" s="39">
        <f>(J372+1)</f>
        <v>127</v>
      </c>
      <c r="K373" s="39" t="s">
        <v>157</v>
      </c>
      <c r="L373" s="25">
        <v>880</v>
      </c>
      <c r="M373" s="88">
        <v>1150</v>
      </c>
      <c r="N373" s="313">
        <f t="shared" si="26"/>
        <v>1206.3499999999999</v>
      </c>
    </row>
    <row r="374" spans="1:19" ht="15" thickBot="1">
      <c r="G374" s="39"/>
      <c r="H374" s="39"/>
      <c r="J374" s="39">
        <f t="shared" si="28"/>
        <v>128</v>
      </c>
      <c r="K374" s="39" t="s">
        <v>158</v>
      </c>
      <c r="L374" s="25">
        <v>1560</v>
      </c>
      <c r="M374" s="82">
        <v>2000</v>
      </c>
      <c r="N374" s="313">
        <f t="shared" ref="N374:N383" si="30">M374*1.049</f>
        <v>2098</v>
      </c>
    </row>
    <row r="375" spans="1:19" ht="15" thickBot="1">
      <c r="G375" s="39"/>
      <c r="H375" s="39"/>
      <c r="J375" s="39">
        <f>(J374+1)</f>
        <v>129</v>
      </c>
      <c r="K375" s="39" t="s">
        <v>160</v>
      </c>
      <c r="L375" s="25">
        <v>1710</v>
      </c>
      <c r="M375" s="82">
        <v>2200</v>
      </c>
      <c r="N375" s="313">
        <f t="shared" si="30"/>
        <v>2307.7999999999997</v>
      </c>
    </row>
    <row r="376" spans="1:19" ht="15" thickBot="1">
      <c r="G376" s="39"/>
      <c r="H376" s="39"/>
      <c r="J376" s="39">
        <f>(J375+1)</f>
        <v>130</v>
      </c>
      <c r="K376" s="39" t="s">
        <v>161</v>
      </c>
      <c r="L376" s="25">
        <v>1895</v>
      </c>
      <c r="M376" s="82">
        <v>2400</v>
      </c>
      <c r="N376" s="313">
        <f t="shared" si="30"/>
        <v>2517.6</v>
      </c>
    </row>
    <row r="377" spans="1:19" ht="15" thickBot="1">
      <c r="G377" s="39"/>
      <c r="H377" s="39"/>
      <c r="J377" s="39">
        <f>(J376+1)</f>
        <v>131</v>
      </c>
      <c r="K377" s="39" t="s">
        <v>162</v>
      </c>
      <c r="L377" s="25">
        <v>1940</v>
      </c>
      <c r="M377" s="82">
        <v>2500</v>
      </c>
      <c r="N377" s="313">
        <f t="shared" si="30"/>
        <v>2622.5</v>
      </c>
    </row>
    <row r="378" spans="1:19" ht="15" thickBot="1">
      <c r="G378" s="39"/>
      <c r="H378" s="39"/>
      <c r="J378" s="39">
        <f>(J377+1)</f>
        <v>132</v>
      </c>
      <c r="K378" s="39" t="s">
        <v>163</v>
      </c>
      <c r="L378" s="25">
        <v>3600</v>
      </c>
      <c r="M378" s="83">
        <v>5000</v>
      </c>
      <c r="N378" s="313">
        <f t="shared" si="30"/>
        <v>5245</v>
      </c>
    </row>
    <row r="379" spans="1:19" ht="15" thickBot="1">
      <c r="G379" s="39"/>
      <c r="H379" s="39"/>
      <c r="J379" s="39">
        <f>(J378+1)</f>
        <v>133</v>
      </c>
      <c r="K379" s="39" t="s">
        <v>164</v>
      </c>
      <c r="L379" s="25" t="s">
        <v>209</v>
      </c>
      <c r="M379" s="90">
        <v>2625</v>
      </c>
      <c r="N379" s="313">
        <f t="shared" si="30"/>
        <v>2753.625</v>
      </c>
    </row>
    <row r="380" spans="1:19" ht="15" thickBot="1">
      <c r="G380" s="39"/>
      <c r="H380" s="39"/>
      <c r="J380" s="39">
        <v>134</v>
      </c>
      <c r="K380" s="39" t="s">
        <v>222</v>
      </c>
      <c r="L380" s="25">
        <v>125</v>
      </c>
      <c r="M380" s="83" t="s">
        <v>209</v>
      </c>
      <c r="N380" s="313"/>
    </row>
    <row r="381" spans="1:19" ht="15" thickBot="1">
      <c r="G381" s="39"/>
      <c r="H381" s="39"/>
      <c r="J381" s="39">
        <v>135</v>
      </c>
      <c r="K381" s="39" t="s">
        <v>166</v>
      </c>
      <c r="L381" s="25">
        <v>370</v>
      </c>
      <c r="M381" s="82">
        <v>445</v>
      </c>
      <c r="N381" s="313">
        <f t="shared" si="30"/>
        <v>466.80499999999995</v>
      </c>
    </row>
    <row r="382" spans="1:19" ht="15" thickBot="1">
      <c r="G382" s="39"/>
      <c r="H382" s="39"/>
      <c r="J382" s="39">
        <v>136</v>
      </c>
      <c r="K382" s="39" t="s">
        <v>167</v>
      </c>
      <c r="L382" s="25">
        <v>2790</v>
      </c>
      <c r="M382" s="83" t="s">
        <v>209</v>
      </c>
      <c r="N382" s="313"/>
    </row>
    <row r="383" spans="1:19" ht="15" thickBot="1">
      <c r="G383" s="39"/>
      <c r="H383" s="39"/>
      <c r="J383" s="39">
        <v>137</v>
      </c>
      <c r="K383" s="39" t="s">
        <v>168</v>
      </c>
      <c r="L383" s="25">
        <v>75</v>
      </c>
      <c r="M383" s="82">
        <v>70</v>
      </c>
      <c r="N383" s="313">
        <f t="shared" si="30"/>
        <v>73.429999999999993</v>
      </c>
    </row>
  </sheetData>
  <sheetProtection algorithmName="SHA-512" hashValue="LKHOAehQxENGkT2WWhppOUX8AfTbrSoAQi4RIVOPHYOzWHODOaECOgpA4G3T+2BHbIp5nIu47hj6vqg1J0dG/A==" saltValue="bi6O+yJsQs5zxbYFn6A2aA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FA2B-2DFA-40C0-980F-7C3E6DC2F3FA}">
  <dimension ref="B3:Q34"/>
  <sheetViews>
    <sheetView topLeftCell="A4" workbookViewId="0">
      <selection activeCell="M18" sqref="M18"/>
    </sheetView>
  </sheetViews>
  <sheetFormatPr defaultRowHeight="14.4"/>
  <cols>
    <col min="8" max="8" width="14.33203125" bestFit="1" customWidth="1"/>
  </cols>
  <sheetData>
    <row r="3" spans="3:17">
      <c r="H3" s="61"/>
    </row>
    <row r="4" spans="3:17">
      <c r="G4" s="1" t="s">
        <v>235</v>
      </c>
      <c r="H4" s="61"/>
      <c r="J4" s="20" t="s">
        <v>730</v>
      </c>
      <c r="K4" s="48"/>
      <c r="L4" s="48"/>
      <c r="M4" s="48"/>
      <c r="N4" s="48"/>
      <c r="O4" s="48"/>
      <c r="P4" s="48"/>
      <c r="Q4" s="48"/>
    </row>
    <row r="5" spans="3:17">
      <c r="H5" s="61"/>
      <c r="J5" s="20" t="s">
        <v>731</v>
      </c>
      <c r="K5" s="48"/>
      <c r="L5" s="48"/>
      <c r="M5" s="48"/>
      <c r="N5" s="48"/>
      <c r="O5" s="48"/>
      <c r="P5" s="48"/>
      <c r="Q5" s="48"/>
    </row>
    <row r="6" spans="3:17">
      <c r="C6" s="1" t="s">
        <v>223</v>
      </c>
      <c r="H6" s="61"/>
      <c r="J6" s="313"/>
      <c r="K6" s="1" t="s">
        <v>967</v>
      </c>
    </row>
    <row r="7" spans="3:17">
      <c r="H7" s="61"/>
    </row>
    <row r="8" spans="3:17" ht="15" thickBot="1">
      <c r="C8" s="1" t="s">
        <v>1</v>
      </c>
      <c r="H8" s="62" t="s">
        <v>236</v>
      </c>
    </row>
    <row r="9" spans="3:17">
      <c r="H9" s="61"/>
    </row>
    <row r="10" spans="3:17" ht="15" thickBot="1">
      <c r="C10" s="1" t="s">
        <v>2</v>
      </c>
      <c r="H10" s="62" t="s">
        <v>237</v>
      </c>
    </row>
    <row r="11" spans="3:17">
      <c r="H11" s="61"/>
    </row>
    <row r="12" spans="3:17" ht="15" thickBot="1">
      <c r="C12" s="1" t="s">
        <v>238</v>
      </c>
      <c r="H12" s="84">
        <v>51510</v>
      </c>
      <c r="I12" s="48">
        <v>65623</v>
      </c>
      <c r="J12" s="313">
        <f>I12*1.049+3240</f>
        <v>72078.527000000002</v>
      </c>
    </row>
    <row r="13" spans="3:17">
      <c r="H13" s="61"/>
    </row>
    <row r="14" spans="3:17">
      <c r="H14" s="61"/>
    </row>
    <row r="15" spans="3:17">
      <c r="C15" s="1" t="s">
        <v>239</v>
      </c>
      <c r="H15" s="61"/>
    </row>
    <row r="16" spans="3:17">
      <c r="H16" s="61"/>
    </row>
    <row r="17" spans="2:11" ht="15" thickBot="1">
      <c r="B17">
        <v>1</v>
      </c>
      <c r="C17" t="s">
        <v>240</v>
      </c>
      <c r="H17" s="84">
        <v>1898</v>
      </c>
      <c r="I17" s="95" t="s">
        <v>208</v>
      </c>
      <c r="J17" s="313"/>
    </row>
    <row r="18" spans="2:11" ht="15" thickBot="1">
      <c r="B18">
        <f>(B17+1)</f>
        <v>2</v>
      </c>
      <c r="C18" t="s">
        <v>241</v>
      </c>
      <c r="H18" s="84">
        <v>-625</v>
      </c>
      <c r="I18" s="95" t="s">
        <v>32</v>
      </c>
      <c r="J18" s="313"/>
      <c r="K18" t="s">
        <v>723</v>
      </c>
    </row>
    <row r="19" spans="2:11" ht="15" thickBot="1">
      <c r="B19">
        <f t="shared" ref="B19:B32" si="0">(B18+1)</f>
        <v>3</v>
      </c>
      <c r="C19" t="s">
        <v>242</v>
      </c>
      <c r="H19" s="84">
        <v>-625</v>
      </c>
      <c r="I19" s="95" t="s">
        <v>208</v>
      </c>
      <c r="J19" s="313"/>
      <c r="K19" t="s">
        <v>724</v>
      </c>
    </row>
    <row r="20" spans="2:11" ht="15" thickBot="1">
      <c r="B20">
        <f t="shared" si="0"/>
        <v>4</v>
      </c>
      <c r="C20" t="s">
        <v>70</v>
      </c>
      <c r="H20" s="84">
        <v>75</v>
      </c>
      <c r="I20" s="95">
        <v>85</v>
      </c>
      <c r="J20" s="313">
        <f t="shared" ref="J20:J33" si="1">I20*1.049</f>
        <v>89.164999999999992</v>
      </c>
    </row>
    <row r="21" spans="2:11" ht="15" thickBot="1">
      <c r="B21">
        <f t="shared" si="0"/>
        <v>5</v>
      </c>
      <c r="C21" t="s">
        <v>72</v>
      </c>
      <c r="H21" s="84">
        <v>25</v>
      </c>
      <c r="I21" s="95">
        <v>35</v>
      </c>
      <c r="J21" s="313">
        <f t="shared" si="1"/>
        <v>36.714999999999996</v>
      </c>
    </row>
    <row r="22" spans="2:11" ht="15" thickBot="1">
      <c r="B22">
        <f t="shared" si="0"/>
        <v>6</v>
      </c>
      <c r="C22" t="s">
        <v>74</v>
      </c>
      <c r="H22" s="84">
        <v>100</v>
      </c>
      <c r="I22" s="95">
        <v>110</v>
      </c>
      <c r="J22" s="313">
        <f t="shared" si="1"/>
        <v>115.38999999999999</v>
      </c>
    </row>
    <row r="23" spans="2:11" ht="15" thickBot="1">
      <c r="B23">
        <f t="shared" si="0"/>
        <v>7</v>
      </c>
      <c r="C23" t="s">
        <v>76</v>
      </c>
      <c r="H23" s="84" t="s">
        <v>32</v>
      </c>
      <c r="I23" s="95" t="s">
        <v>32</v>
      </c>
      <c r="J23" s="313"/>
    </row>
    <row r="24" spans="2:11" ht="15" thickBot="1">
      <c r="B24">
        <f t="shared" si="0"/>
        <v>8</v>
      </c>
      <c r="C24" t="s">
        <v>91</v>
      </c>
      <c r="H24" s="84">
        <v>-100</v>
      </c>
      <c r="I24" s="95" t="s">
        <v>716</v>
      </c>
      <c r="J24" s="313"/>
    </row>
    <row r="25" spans="2:11" ht="15" thickBot="1">
      <c r="B25">
        <f t="shared" si="0"/>
        <v>9</v>
      </c>
      <c r="C25" t="s">
        <v>93</v>
      </c>
      <c r="H25" s="84">
        <v>-100</v>
      </c>
      <c r="I25" s="95" t="s">
        <v>716</v>
      </c>
      <c r="J25" s="313"/>
    </row>
    <row r="26" spans="2:11" ht="15" thickBot="1">
      <c r="B26">
        <f t="shared" si="0"/>
        <v>10</v>
      </c>
      <c r="C26" t="s">
        <v>99</v>
      </c>
      <c r="H26" s="84" t="s">
        <v>32</v>
      </c>
      <c r="I26" s="95" t="s">
        <v>716</v>
      </c>
      <c r="J26" s="313"/>
    </row>
    <row r="27" spans="2:11" ht="15" thickBot="1">
      <c r="B27">
        <f t="shared" si="0"/>
        <v>11</v>
      </c>
      <c r="C27" t="s">
        <v>101</v>
      </c>
      <c r="H27" s="84" t="s">
        <v>32</v>
      </c>
      <c r="I27" s="95" t="s">
        <v>716</v>
      </c>
      <c r="J27" s="313"/>
    </row>
    <row r="28" spans="2:11" ht="15" thickBot="1">
      <c r="B28">
        <f t="shared" si="0"/>
        <v>12</v>
      </c>
      <c r="C28" t="s">
        <v>150</v>
      </c>
      <c r="H28" s="84">
        <v>605</v>
      </c>
      <c r="I28" s="96">
        <v>900</v>
      </c>
      <c r="J28" s="313">
        <f t="shared" si="1"/>
        <v>944.09999999999991</v>
      </c>
    </row>
    <row r="29" spans="2:11" ht="15" thickBot="1">
      <c r="B29">
        <f t="shared" si="0"/>
        <v>13</v>
      </c>
      <c r="C29" t="s">
        <v>152</v>
      </c>
      <c r="H29" s="84">
        <v>605</v>
      </c>
      <c r="I29" s="96">
        <v>900</v>
      </c>
      <c r="J29" s="313">
        <f t="shared" si="1"/>
        <v>944.09999999999991</v>
      </c>
    </row>
    <row r="30" spans="2:11" ht="15" thickBot="1">
      <c r="B30">
        <f t="shared" si="0"/>
        <v>14</v>
      </c>
      <c r="C30" t="s">
        <v>154</v>
      </c>
      <c r="H30" s="84">
        <v>880</v>
      </c>
      <c r="I30" s="96">
        <v>1320</v>
      </c>
      <c r="J30" s="313">
        <f t="shared" si="1"/>
        <v>1384.6799999999998</v>
      </c>
    </row>
    <row r="31" spans="2:11" ht="15" thickBot="1">
      <c r="B31">
        <f t="shared" si="0"/>
        <v>15</v>
      </c>
      <c r="C31" t="s">
        <v>156</v>
      </c>
      <c r="H31" s="84">
        <v>605</v>
      </c>
      <c r="I31" s="96">
        <v>900</v>
      </c>
      <c r="J31" s="313">
        <f t="shared" si="1"/>
        <v>944.09999999999991</v>
      </c>
    </row>
    <row r="32" spans="2:11" ht="15" thickBot="1">
      <c r="B32">
        <f t="shared" si="0"/>
        <v>16</v>
      </c>
      <c r="C32" t="s">
        <v>157</v>
      </c>
      <c r="H32" s="84">
        <v>880</v>
      </c>
      <c r="I32" s="96">
        <v>1320</v>
      </c>
      <c r="J32" s="313">
        <f t="shared" si="1"/>
        <v>1384.6799999999998</v>
      </c>
    </row>
    <row r="33" spans="2:10" ht="15" thickBot="1">
      <c r="B33">
        <v>17</v>
      </c>
      <c r="C33" t="s">
        <v>243</v>
      </c>
      <c r="H33" s="84">
        <v>75</v>
      </c>
      <c r="I33" s="95">
        <v>85</v>
      </c>
      <c r="J33" s="313">
        <f t="shared" si="1"/>
        <v>89.164999999999992</v>
      </c>
    </row>
    <row r="34" spans="2:10">
      <c r="H34" s="22"/>
    </row>
  </sheetData>
  <sheetProtection algorithmName="SHA-512" hashValue="daMhFjvUXYWDlslTBypQ6zuac1nW0G4BT2EYog29bPuuFniYcAg+jNzvxihllPVGkHHgUECD+Ix+YaE4kjfmUw==" saltValue="TMV6kD+jhIy47Uoy6PNsMw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83BF7-47CA-459C-9887-AE55908B9A83}">
  <dimension ref="A1:V437"/>
  <sheetViews>
    <sheetView topLeftCell="A93" workbookViewId="0">
      <selection activeCell="A18" sqref="A18"/>
    </sheetView>
  </sheetViews>
  <sheetFormatPr defaultRowHeight="14.4"/>
  <cols>
    <col min="2" max="2" width="11.5546875" customWidth="1"/>
    <col min="3" max="3" width="11.6640625" bestFit="1" customWidth="1"/>
    <col min="4" max="4" width="11.33203125" bestFit="1" customWidth="1"/>
    <col min="5" max="5" width="11" customWidth="1"/>
    <col min="6" max="6" width="12.33203125" bestFit="1" customWidth="1"/>
    <col min="7" max="7" width="15" customWidth="1"/>
    <col min="8" max="8" width="11.44140625" customWidth="1"/>
    <col min="9" max="9" width="11.77734375" customWidth="1"/>
    <col min="10" max="10" width="31.33203125" customWidth="1"/>
    <col min="11" max="11" width="10.6640625" customWidth="1"/>
    <col min="12" max="12" width="19" customWidth="1"/>
    <col min="13" max="13" width="10.5546875" customWidth="1"/>
    <col min="14" max="14" width="13.21875" customWidth="1"/>
    <col min="15" max="15" width="11.21875" customWidth="1"/>
    <col min="16" max="16" width="13.6640625" customWidth="1"/>
    <col min="17" max="17" width="17.5546875" customWidth="1"/>
    <col min="18" max="18" width="8.77734375" customWidth="1"/>
  </cols>
  <sheetData>
    <row r="1" spans="2:22">
      <c r="F1" s="18"/>
    </row>
    <row r="2" spans="2:22">
      <c r="B2" s="1" t="s">
        <v>244</v>
      </c>
      <c r="H2" s="313"/>
      <c r="I2" s="1" t="s">
        <v>888</v>
      </c>
      <c r="L2" s="1" t="s">
        <v>233</v>
      </c>
      <c r="M2" s="1"/>
      <c r="N2" s="1"/>
      <c r="O2" s="1"/>
      <c r="P2" s="1"/>
      <c r="Q2" s="1"/>
      <c r="R2" s="1"/>
    </row>
    <row r="3" spans="2:22">
      <c r="L3" s="1" t="s">
        <v>234</v>
      </c>
      <c r="M3" s="1"/>
      <c r="N3" s="1"/>
      <c r="O3" s="1"/>
      <c r="P3" s="1"/>
      <c r="Q3" s="1"/>
      <c r="R3" s="1"/>
    </row>
    <row r="4" spans="2:22" ht="15" thickBot="1">
      <c r="C4" s="1" t="s">
        <v>1</v>
      </c>
      <c r="F4" s="2" t="s">
        <v>170</v>
      </c>
      <c r="G4" s="2"/>
      <c r="H4" s="1"/>
      <c r="I4" s="1"/>
      <c r="J4" s="1"/>
      <c r="L4" s="1"/>
      <c r="M4" s="1"/>
      <c r="N4" s="1"/>
      <c r="O4" s="1"/>
      <c r="P4" s="1"/>
    </row>
    <row r="5" spans="2:22">
      <c r="I5" s="20" t="s">
        <v>1019</v>
      </c>
      <c r="J5" s="48"/>
      <c r="K5" s="48"/>
      <c r="L5" s="195"/>
    </row>
    <row r="6" spans="2:22" ht="15" thickBot="1">
      <c r="C6" s="1" t="s">
        <v>2</v>
      </c>
      <c r="F6" s="2" t="s">
        <v>245</v>
      </c>
      <c r="G6" s="2" t="s">
        <v>246</v>
      </c>
      <c r="H6" s="1"/>
      <c r="I6" s="20" t="s">
        <v>731</v>
      </c>
      <c r="J6" s="48"/>
      <c r="K6" s="48"/>
      <c r="L6" s="23"/>
    </row>
    <row r="7" spans="2:22">
      <c r="I7" s="20" t="s">
        <v>744</v>
      </c>
      <c r="J7" s="48"/>
    </row>
    <row r="9" spans="2:22">
      <c r="C9" s="1"/>
      <c r="D9" s="1" t="s">
        <v>247</v>
      </c>
      <c r="J9" s="1" t="s">
        <v>745</v>
      </c>
      <c r="K9" s="18"/>
      <c r="L9" s="18" t="s">
        <v>249</v>
      </c>
      <c r="M9" s="1" t="s">
        <v>750</v>
      </c>
      <c r="O9" s="1"/>
      <c r="P9" s="1" t="s">
        <v>250</v>
      </c>
    </row>
    <row r="10" spans="2:22">
      <c r="D10" t="s">
        <v>252</v>
      </c>
      <c r="J10" s="1" t="s">
        <v>749</v>
      </c>
      <c r="K10" s="23"/>
      <c r="L10" s="23" t="s">
        <v>252</v>
      </c>
      <c r="P10" t="s">
        <v>252</v>
      </c>
    </row>
    <row r="11" spans="2:22" ht="15" thickBot="1">
      <c r="E11" s="54" t="s">
        <v>714</v>
      </c>
      <c r="J11" s="1" t="s">
        <v>747</v>
      </c>
      <c r="K11" s="23" t="s">
        <v>254</v>
      </c>
      <c r="L11" s="24">
        <v>145132</v>
      </c>
      <c r="M11" s="200">
        <v>177229</v>
      </c>
      <c r="N11" s="313">
        <f t="shared" ref="N11:N15" si="0">M11*1.049</f>
        <v>185913.22099999999</v>
      </c>
      <c r="P11" t="s">
        <v>255</v>
      </c>
    </row>
    <row r="12" spans="2:22">
      <c r="E12" s="64"/>
      <c r="G12" s="373" t="s">
        <v>1018</v>
      </c>
      <c r="H12" s="371"/>
      <c r="J12" s="23"/>
      <c r="K12" s="23"/>
      <c r="L12" s="23"/>
      <c r="M12" s="201"/>
      <c r="N12" s="313"/>
      <c r="S12" s="372" t="s">
        <v>1020</v>
      </c>
      <c r="T12" s="371"/>
      <c r="U12" s="371"/>
      <c r="V12" s="371"/>
    </row>
    <row r="13" spans="2:22" ht="15" thickBot="1">
      <c r="C13" s="23" t="s">
        <v>257</v>
      </c>
      <c r="D13" s="25">
        <v>101303</v>
      </c>
      <c r="E13" s="97">
        <f>126142+7958</f>
        <v>134100</v>
      </c>
      <c r="F13" s="313">
        <f t="shared" ref="F13:F17" si="1">E13*1.049</f>
        <v>140670.9</v>
      </c>
      <c r="G13" s="369">
        <f>F13+2032</f>
        <v>142702.9</v>
      </c>
      <c r="J13" s="23"/>
      <c r="K13" s="23" t="s">
        <v>259</v>
      </c>
      <c r="L13" s="24">
        <v>148569</v>
      </c>
      <c r="M13" s="200">
        <v>181869</v>
      </c>
      <c r="N13" s="313">
        <f t="shared" si="0"/>
        <v>190780.58099999998</v>
      </c>
      <c r="O13" s="23" t="s">
        <v>257</v>
      </c>
      <c r="P13" s="25" t="s">
        <v>260</v>
      </c>
      <c r="Q13" s="97">
        <f>152367+7958</f>
        <v>160325</v>
      </c>
      <c r="R13" s="313">
        <f t="shared" ref="R13:R17" si="2">Q13*1.049</f>
        <v>168180.92499999999</v>
      </c>
      <c r="S13" s="370">
        <f>R13+2032+8523</f>
        <v>178735.92499999999</v>
      </c>
    </row>
    <row r="14" spans="2:22">
      <c r="C14" s="23"/>
      <c r="E14" s="97"/>
      <c r="M14" s="202"/>
      <c r="N14" s="313"/>
      <c r="O14" s="23"/>
      <c r="Q14" s="98"/>
      <c r="R14" s="313"/>
    </row>
    <row r="15" spans="2:22" ht="15" thickBot="1">
      <c r="C15" s="23" t="s">
        <v>261</v>
      </c>
      <c r="D15" s="25">
        <v>103460</v>
      </c>
      <c r="E15" s="97">
        <f>129049+7958</f>
        <v>137007</v>
      </c>
      <c r="F15" s="313">
        <f t="shared" si="1"/>
        <v>143720.34299999999</v>
      </c>
      <c r="G15" s="370">
        <f>F15+2032</f>
        <v>145752.34299999999</v>
      </c>
      <c r="K15" s="23" t="s">
        <v>694</v>
      </c>
      <c r="L15" s="25">
        <v>150345</v>
      </c>
      <c r="M15" s="203">
        <v>184198</v>
      </c>
      <c r="N15" s="313">
        <f t="shared" si="0"/>
        <v>193223.70199999999</v>
      </c>
      <c r="O15" s="23" t="s">
        <v>261</v>
      </c>
      <c r="P15" s="25" t="s">
        <v>263</v>
      </c>
      <c r="Q15" s="97">
        <f>155049+7958</f>
        <v>163007</v>
      </c>
      <c r="R15" s="313">
        <f t="shared" si="2"/>
        <v>170994.34299999999</v>
      </c>
      <c r="S15" s="370">
        <f>R15+2032+8523</f>
        <v>181549.34299999999</v>
      </c>
    </row>
    <row r="16" spans="2:22">
      <c r="C16" s="23"/>
      <c r="E16" s="97"/>
      <c r="L16" s="18" t="s">
        <v>264</v>
      </c>
      <c r="M16" s="23"/>
      <c r="O16" s="23"/>
      <c r="Q16" s="97"/>
      <c r="R16" s="313"/>
    </row>
    <row r="17" spans="1:19" ht="15" thickBot="1">
      <c r="C17" s="23" t="s">
        <v>265</v>
      </c>
      <c r="D17" s="25">
        <v>106196</v>
      </c>
      <c r="E17" s="97">
        <f>132833+7958</f>
        <v>140791</v>
      </c>
      <c r="F17" s="313">
        <f t="shared" si="1"/>
        <v>147689.75899999999</v>
      </c>
      <c r="G17" s="370">
        <f>F17+2032</f>
        <v>149721.75899999999</v>
      </c>
      <c r="J17" s="26"/>
      <c r="K17" s="26"/>
      <c r="L17" s="23" t="s">
        <v>252</v>
      </c>
      <c r="M17" s="195"/>
      <c r="O17" s="23" t="s">
        <v>265</v>
      </c>
      <c r="P17" s="76" t="s">
        <v>266</v>
      </c>
      <c r="Q17" s="97">
        <f>159883+7958</f>
        <v>167841</v>
      </c>
      <c r="R17" s="313">
        <f t="shared" si="2"/>
        <v>176065.209</v>
      </c>
      <c r="S17" s="370">
        <f>R17+2032+8523</f>
        <v>186620.209</v>
      </c>
    </row>
    <row r="18" spans="1:19" ht="15" thickBot="1">
      <c r="D18" s="1"/>
      <c r="J18" s="27"/>
      <c r="K18" s="27" t="s">
        <v>257</v>
      </c>
      <c r="L18" s="28" t="s">
        <v>9</v>
      </c>
      <c r="M18" s="196"/>
      <c r="N18" s="1"/>
      <c r="P18" s="61"/>
    </row>
    <row r="19" spans="1:19" ht="15" thickBot="1">
      <c r="J19" s="27"/>
      <c r="K19" s="27" t="s">
        <v>261</v>
      </c>
      <c r="L19" s="29" t="s">
        <v>9</v>
      </c>
      <c r="M19" s="196"/>
      <c r="N19" s="1"/>
    </row>
    <row r="20" spans="1:19" ht="15" thickBot="1">
      <c r="J20" s="27"/>
      <c r="K20" s="27" t="s">
        <v>254</v>
      </c>
      <c r="L20" s="30">
        <v>122797</v>
      </c>
      <c r="M20" s="197">
        <f>159153+7958</f>
        <v>167111</v>
      </c>
      <c r="N20" s="313">
        <f t="shared" ref="N20:N22" si="3">M20*1.049</f>
        <v>175299.43899999998</v>
      </c>
    </row>
    <row r="21" spans="1:19" ht="15" thickBot="1">
      <c r="D21" s="1"/>
      <c r="J21" s="27"/>
      <c r="K21" s="27" t="s">
        <v>259</v>
      </c>
      <c r="L21" s="30">
        <v>125037</v>
      </c>
      <c r="M21" s="197">
        <f>162195+7958</f>
        <v>170153</v>
      </c>
      <c r="N21" s="313">
        <f t="shared" si="3"/>
        <v>178490.497</v>
      </c>
    </row>
    <row r="22" spans="1:19" ht="15" thickBot="1">
      <c r="I22" s="27"/>
      <c r="J22" s="27"/>
      <c r="K22" s="27" t="s">
        <v>267</v>
      </c>
      <c r="L22" s="30">
        <v>125861</v>
      </c>
      <c r="M22" s="197">
        <f>163306+7958</f>
        <v>171264</v>
      </c>
      <c r="N22" s="313">
        <f t="shared" si="3"/>
        <v>179655.93599999999</v>
      </c>
    </row>
    <row r="23" spans="1:19">
      <c r="L23" s="26"/>
      <c r="M23" s="26"/>
      <c r="N23" s="26"/>
      <c r="O23" s="26"/>
      <c r="P23" s="26"/>
    </row>
    <row r="24" spans="1:19">
      <c r="C24" s="1" t="s">
        <v>239</v>
      </c>
      <c r="G24" s="27"/>
      <c r="H24" s="27"/>
      <c r="I24" s="27"/>
      <c r="J24" s="27"/>
      <c r="K24" s="27"/>
      <c r="L24" s="27"/>
    </row>
    <row r="25" spans="1:19">
      <c r="G25" s="27"/>
      <c r="H25" s="27"/>
      <c r="I25" s="27"/>
      <c r="J25" s="27"/>
      <c r="K25" s="27"/>
      <c r="L25" s="27"/>
      <c r="P25" s="26"/>
      <c r="Q25" s="26"/>
    </row>
    <row r="26" spans="1:19" ht="15" thickBot="1">
      <c r="A26">
        <v>1</v>
      </c>
      <c r="C26" s="4" t="s">
        <v>23</v>
      </c>
      <c r="G26" s="73">
        <v>1175</v>
      </c>
      <c r="H26" s="64">
        <f t="shared" ref="H26:H34" si="4">SUM(G26*1.18)</f>
        <v>1386.5</v>
      </c>
      <c r="I26" s="313">
        <f t="shared" ref="I26:I89" si="5">H26*1.049</f>
        <v>1454.4385</v>
      </c>
      <c r="J26" s="55"/>
      <c r="K26">
        <f>(A115+1)</f>
        <v>58</v>
      </c>
      <c r="L26" s="4" t="s">
        <v>24</v>
      </c>
      <c r="M26" s="4"/>
      <c r="N26" s="4"/>
      <c r="O26" s="84">
        <v>11529.9</v>
      </c>
      <c r="P26" s="99">
        <f>SUM(O26*1.18)</f>
        <v>13605.281999999999</v>
      </c>
      <c r="Q26" s="313">
        <f t="shared" ref="Q26:Q89" si="6">P26*1.049</f>
        <v>14271.940817999999</v>
      </c>
    </row>
    <row r="27" spans="1:19" ht="15" thickBot="1">
      <c r="A27">
        <f>(A26+1)</f>
        <v>2</v>
      </c>
      <c r="C27" s="4" t="s">
        <v>26</v>
      </c>
      <c r="G27" s="73">
        <v>1040</v>
      </c>
      <c r="H27" s="64">
        <f t="shared" si="4"/>
        <v>1227.2</v>
      </c>
      <c r="I27" s="313">
        <f t="shared" si="5"/>
        <v>1287.3327999999999</v>
      </c>
      <c r="J27" s="55"/>
      <c r="K27">
        <f>(K26+1)</f>
        <v>59</v>
      </c>
      <c r="L27" s="4" t="s">
        <v>30</v>
      </c>
      <c r="M27" s="4"/>
      <c r="N27" s="4"/>
      <c r="O27" s="84"/>
      <c r="P27" s="99">
        <f t="shared" ref="P27:P90" si="7">SUM(O27*1.18)</f>
        <v>0</v>
      </c>
      <c r="Q27" s="313">
        <f t="shared" si="6"/>
        <v>0</v>
      </c>
    </row>
    <row r="28" spans="1:19" ht="15" thickBot="1">
      <c r="A28">
        <f t="shared" ref="A28:A70" si="8">(A27+1)</f>
        <v>3</v>
      </c>
      <c r="C28" s="4" t="s">
        <v>29</v>
      </c>
      <c r="G28" s="73">
        <v>693</v>
      </c>
      <c r="H28" s="64">
        <f t="shared" si="4"/>
        <v>817.74</v>
      </c>
      <c r="I28" s="313">
        <f t="shared" si="5"/>
        <v>857.80925999999999</v>
      </c>
      <c r="J28" s="55"/>
      <c r="L28" s="4" t="s">
        <v>268</v>
      </c>
      <c r="M28" s="4"/>
      <c r="N28" s="4"/>
      <c r="O28" s="84">
        <v>1097.0999999999999</v>
      </c>
      <c r="P28" s="99">
        <f t="shared" si="7"/>
        <v>1294.5779999999997</v>
      </c>
      <c r="Q28" s="313">
        <f t="shared" si="6"/>
        <v>1358.0123219999996</v>
      </c>
    </row>
    <row r="29" spans="1:19" ht="15" thickBot="1">
      <c r="A29">
        <f t="shared" si="8"/>
        <v>4</v>
      </c>
      <c r="C29" s="4" t="s">
        <v>34</v>
      </c>
      <c r="G29" s="73">
        <v>647</v>
      </c>
      <c r="H29" s="64">
        <f t="shared" si="4"/>
        <v>763.45999999999992</v>
      </c>
      <c r="I29" s="313">
        <f t="shared" si="5"/>
        <v>800.86953999999992</v>
      </c>
      <c r="J29" s="55"/>
      <c r="L29" s="4" t="s">
        <v>269</v>
      </c>
      <c r="M29" s="4"/>
      <c r="N29" s="4"/>
      <c r="O29" s="84">
        <v>1314.4499999999998</v>
      </c>
      <c r="P29" s="99">
        <f t="shared" si="7"/>
        <v>1551.0509999999997</v>
      </c>
      <c r="Q29" s="313">
        <f t="shared" si="6"/>
        <v>1627.0524989999997</v>
      </c>
    </row>
    <row r="30" spans="1:19" ht="15" thickBot="1">
      <c r="A30">
        <f t="shared" si="8"/>
        <v>5</v>
      </c>
      <c r="C30" s="4" t="s">
        <v>37</v>
      </c>
      <c r="G30" s="73">
        <v>1014</v>
      </c>
      <c r="H30" s="64">
        <f t="shared" si="4"/>
        <v>1196.52</v>
      </c>
      <c r="I30" s="313">
        <f t="shared" si="5"/>
        <v>1255.1494799999998</v>
      </c>
      <c r="J30" s="55"/>
      <c r="K30">
        <f>(K27+1)</f>
        <v>60</v>
      </c>
      <c r="L30" s="4" t="s">
        <v>271</v>
      </c>
      <c r="M30" s="4"/>
      <c r="N30" s="4"/>
      <c r="O30" s="84">
        <v>3473.46</v>
      </c>
      <c r="P30" s="99">
        <f t="shared" si="7"/>
        <v>4098.6827999999996</v>
      </c>
      <c r="Q30" s="313">
        <f t="shared" si="6"/>
        <v>4299.5182571999994</v>
      </c>
    </row>
    <row r="31" spans="1:19" ht="15" thickBot="1">
      <c r="A31">
        <f t="shared" si="8"/>
        <v>6</v>
      </c>
      <c r="C31" s="4" t="s">
        <v>39</v>
      </c>
      <c r="G31" s="73">
        <v>1615</v>
      </c>
      <c r="H31" s="64">
        <f t="shared" si="4"/>
        <v>1905.6999999999998</v>
      </c>
      <c r="I31" s="313">
        <f t="shared" si="5"/>
        <v>1999.0792999999996</v>
      </c>
      <c r="J31" s="55"/>
      <c r="K31">
        <f>(K30+1)</f>
        <v>61</v>
      </c>
      <c r="L31" t="s">
        <v>38</v>
      </c>
      <c r="O31" s="84"/>
      <c r="P31" s="99">
        <f t="shared" si="7"/>
        <v>0</v>
      </c>
      <c r="Q31" s="313">
        <f t="shared" si="6"/>
        <v>0</v>
      </c>
    </row>
    <row r="32" spans="1:19" ht="15" thickBot="1">
      <c r="A32">
        <f t="shared" si="8"/>
        <v>7</v>
      </c>
      <c r="C32" s="4" t="s">
        <v>41</v>
      </c>
      <c r="G32" s="73">
        <v>1180</v>
      </c>
      <c r="H32" s="64">
        <f t="shared" si="4"/>
        <v>1392.3999999999999</v>
      </c>
      <c r="I32" s="313">
        <f t="shared" si="5"/>
        <v>1460.6275999999998</v>
      </c>
      <c r="J32" s="55"/>
      <c r="L32" s="4" t="s">
        <v>268</v>
      </c>
      <c r="M32" s="4"/>
      <c r="O32" s="84">
        <v>9832.5</v>
      </c>
      <c r="P32" s="99">
        <f t="shared" si="7"/>
        <v>11602.349999999999</v>
      </c>
      <c r="Q32" s="313">
        <f t="shared" si="6"/>
        <v>12170.865149999998</v>
      </c>
    </row>
    <row r="33" spans="1:17" ht="15" thickBot="1">
      <c r="A33">
        <f t="shared" si="8"/>
        <v>8</v>
      </c>
      <c r="C33" s="4" t="s">
        <v>43</v>
      </c>
      <c r="G33" s="73">
        <v>1185</v>
      </c>
      <c r="H33" s="64">
        <f t="shared" si="4"/>
        <v>1398.3</v>
      </c>
      <c r="I33" s="313">
        <f t="shared" si="5"/>
        <v>1466.8166999999999</v>
      </c>
      <c r="J33" s="55"/>
      <c r="L33" s="4" t="s">
        <v>269</v>
      </c>
      <c r="M33" s="4"/>
      <c r="O33" s="84">
        <v>10350</v>
      </c>
      <c r="P33" s="99">
        <f t="shared" si="7"/>
        <v>12213</v>
      </c>
      <c r="Q33" s="313">
        <f t="shared" si="6"/>
        <v>12811.437</v>
      </c>
    </row>
    <row r="34" spans="1:17" ht="15" thickBot="1">
      <c r="A34">
        <f t="shared" si="8"/>
        <v>9</v>
      </c>
      <c r="C34" s="4" t="s">
        <v>45</v>
      </c>
      <c r="G34" s="73">
        <v>-90</v>
      </c>
      <c r="H34" s="64">
        <f t="shared" si="4"/>
        <v>-106.19999999999999</v>
      </c>
      <c r="I34" s="313">
        <f t="shared" si="5"/>
        <v>-111.40379999999998</v>
      </c>
      <c r="J34" s="55"/>
      <c r="L34" s="4" t="s">
        <v>276</v>
      </c>
      <c r="M34" s="4"/>
      <c r="O34" s="84">
        <v>10350</v>
      </c>
      <c r="P34" s="99">
        <f t="shared" si="7"/>
        <v>12213</v>
      </c>
      <c r="Q34" s="313">
        <f t="shared" si="6"/>
        <v>12811.437</v>
      </c>
    </row>
    <row r="35" spans="1:17" ht="15" thickBot="1">
      <c r="A35">
        <f t="shared" si="8"/>
        <v>10</v>
      </c>
      <c r="C35" s="4" t="s">
        <v>278</v>
      </c>
      <c r="G35" s="75" t="s">
        <v>9</v>
      </c>
      <c r="H35" s="66" t="s">
        <v>9</v>
      </c>
      <c r="I35" s="313"/>
      <c r="J35" s="56"/>
      <c r="K35">
        <f>(K31+1)</f>
        <v>62</v>
      </c>
      <c r="L35" t="s">
        <v>279</v>
      </c>
      <c r="O35" s="112" t="s">
        <v>32</v>
      </c>
      <c r="P35" s="99" t="s">
        <v>9</v>
      </c>
      <c r="Q35" s="313"/>
    </row>
    <row r="36" spans="1:17" ht="15" thickBot="1">
      <c r="A36">
        <f t="shared" si="8"/>
        <v>11</v>
      </c>
      <c r="C36" s="4" t="s">
        <v>60</v>
      </c>
      <c r="G36" s="73">
        <v>62</v>
      </c>
      <c r="H36" s="64">
        <f t="shared" ref="H36:H69" si="9">SUM(G36*1.18)</f>
        <v>73.16</v>
      </c>
      <c r="I36" s="313">
        <f t="shared" si="5"/>
        <v>76.744839999999996</v>
      </c>
      <c r="J36" s="55"/>
      <c r="K36">
        <f t="shared" ref="K36:K97" si="10">(K35+1)</f>
        <v>63</v>
      </c>
      <c r="L36" s="4" t="s">
        <v>40</v>
      </c>
      <c r="M36" s="4"/>
      <c r="N36" s="4"/>
      <c r="O36" s="112" t="s">
        <v>32</v>
      </c>
      <c r="P36" s="99" t="s">
        <v>9</v>
      </c>
      <c r="Q36" s="313"/>
    </row>
    <row r="37" spans="1:17" ht="15" thickBot="1">
      <c r="A37">
        <f t="shared" si="8"/>
        <v>12</v>
      </c>
      <c r="C37" t="s">
        <v>62</v>
      </c>
      <c r="G37" s="73">
        <v>62</v>
      </c>
      <c r="H37" s="64">
        <f t="shared" si="9"/>
        <v>73.16</v>
      </c>
      <c r="I37" s="313">
        <f t="shared" si="5"/>
        <v>76.744839999999996</v>
      </c>
      <c r="J37" s="55"/>
      <c r="K37">
        <f t="shared" si="10"/>
        <v>64</v>
      </c>
      <c r="L37" s="4" t="s">
        <v>42</v>
      </c>
      <c r="M37" s="4"/>
      <c r="N37" s="4"/>
      <c r="O37" s="84">
        <v>1102.2749999999999</v>
      </c>
      <c r="P37" s="99">
        <f t="shared" si="7"/>
        <v>1300.6844999999998</v>
      </c>
      <c r="Q37" s="313">
        <f t="shared" si="6"/>
        <v>1364.4180404999997</v>
      </c>
    </row>
    <row r="38" spans="1:17" ht="15" thickBot="1">
      <c r="A38">
        <f t="shared" si="8"/>
        <v>13</v>
      </c>
      <c r="C38" t="s">
        <v>64</v>
      </c>
      <c r="G38" s="73">
        <v>93</v>
      </c>
      <c r="H38" s="64">
        <f t="shared" si="9"/>
        <v>109.74</v>
      </c>
      <c r="I38" s="313">
        <f t="shared" si="5"/>
        <v>115.11725999999999</v>
      </c>
      <c r="J38" s="55"/>
      <c r="K38">
        <f t="shared" si="10"/>
        <v>65</v>
      </c>
      <c r="L38" s="4" t="s">
        <v>44</v>
      </c>
      <c r="M38" s="4"/>
      <c r="N38" s="4"/>
      <c r="O38" s="84">
        <v>1148.8499999999999</v>
      </c>
      <c r="P38" s="99">
        <f t="shared" si="7"/>
        <v>1355.6429999999998</v>
      </c>
      <c r="Q38" s="313">
        <f t="shared" si="6"/>
        <v>1422.0695069999997</v>
      </c>
    </row>
    <row r="39" spans="1:17" ht="15" thickBot="1">
      <c r="A39">
        <f t="shared" si="8"/>
        <v>14</v>
      </c>
      <c r="C39" s="31" t="s">
        <v>66</v>
      </c>
      <c r="G39" s="73">
        <v>72</v>
      </c>
      <c r="H39" s="64">
        <f t="shared" si="9"/>
        <v>84.96</v>
      </c>
      <c r="I39" s="313">
        <f t="shared" si="5"/>
        <v>89.123039999999989</v>
      </c>
      <c r="J39" s="55"/>
      <c r="K39">
        <f t="shared" si="10"/>
        <v>66</v>
      </c>
      <c r="L39" s="4" t="s">
        <v>46</v>
      </c>
      <c r="M39" s="4"/>
      <c r="N39" s="4"/>
      <c r="O39" s="84">
        <v>269.09999999999997</v>
      </c>
      <c r="P39" s="99">
        <f t="shared" si="7"/>
        <v>317.53799999999995</v>
      </c>
      <c r="Q39" s="313">
        <f t="shared" si="6"/>
        <v>333.09736199999992</v>
      </c>
    </row>
    <row r="40" spans="1:17" ht="15" thickBot="1">
      <c r="A40">
        <f t="shared" si="8"/>
        <v>15</v>
      </c>
      <c r="C40" s="32" t="s">
        <v>68</v>
      </c>
      <c r="G40" s="73">
        <v>78</v>
      </c>
      <c r="H40" s="64">
        <f t="shared" si="9"/>
        <v>92.039999999999992</v>
      </c>
      <c r="I40" s="313">
        <f t="shared" si="5"/>
        <v>96.549959999999984</v>
      </c>
      <c r="J40" s="55"/>
      <c r="K40">
        <f t="shared" si="10"/>
        <v>67</v>
      </c>
      <c r="L40" s="4" t="s">
        <v>48</v>
      </c>
      <c r="M40" s="4"/>
      <c r="N40" s="4"/>
      <c r="O40" s="84">
        <v>900.44999999999993</v>
      </c>
      <c r="P40" s="99">
        <f t="shared" si="7"/>
        <v>1062.5309999999999</v>
      </c>
      <c r="Q40" s="313">
        <f t="shared" si="6"/>
        <v>1114.5950189999999</v>
      </c>
    </row>
    <row r="41" spans="1:17" ht="15" thickBot="1">
      <c r="A41">
        <f t="shared" si="8"/>
        <v>16</v>
      </c>
      <c r="C41" s="32" t="s">
        <v>70</v>
      </c>
      <c r="G41" s="73">
        <v>83</v>
      </c>
      <c r="H41" s="64">
        <f t="shared" si="9"/>
        <v>97.94</v>
      </c>
      <c r="I41" s="313">
        <f t="shared" si="5"/>
        <v>102.73905999999999</v>
      </c>
      <c r="J41" s="55"/>
      <c r="K41">
        <f t="shared" si="10"/>
        <v>68</v>
      </c>
      <c r="L41" s="4" t="s">
        <v>50</v>
      </c>
      <c r="M41" s="4"/>
      <c r="N41" s="4"/>
      <c r="O41" s="84">
        <v>165.6</v>
      </c>
      <c r="P41" s="99">
        <f t="shared" si="7"/>
        <v>195.40799999999999</v>
      </c>
      <c r="Q41" s="313">
        <f t="shared" si="6"/>
        <v>204.98299199999997</v>
      </c>
    </row>
    <row r="42" spans="1:17" ht="15" thickBot="1">
      <c r="A42">
        <f t="shared" si="8"/>
        <v>17</v>
      </c>
      <c r="C42" s="32" t="s">
        <v>72</v>
      </c>
      <c r="G42" s="73">
        <v>52</v>
      </c>
      <c r="H42" s="64">
        <f t="shared" si="9"/>
        <v>61.36</v>
      </c>
      <c r="I42" s="313">
        <f t="shared" si="5"/>
        <v>64.36663999999999</v>
      </c>
      <c r="J42" s="55"/>
      <c r="K42">
        <f t="shared" si="10"/>
        <v>69</v>
      </c>
      <c r="L42" s="4" t="s">
        <v>52</v>
      </c>
      <c r="M42" s="4"/>
      <c r="N42" s="4"/>
      <c r="O42" s="84">
        <v>683.09999999999991</v>
      </c>
      <c r="P42" s="99">
        <f t="shared" si="7"/>
        <v>806.05799999999988</v>
      </c>
      <c r="Q42" s="313">
        <f t="shared" si="6"/>
        <v>845.55484199999978</v>
      </c>
    </row>
    <row r="43" spans="1:17" ht="15" thickBot="1">
      <c r="A43">
        <f t="shared" si="8"/>
        <v>18</v>
      </c>
      <c r="C43" s="32" t="s">
        <v>74</v>
      </c>
      <c r="G43" s="73">
        <v>104</v>
      </c>
      <c r="H43" s="64">
        <f t="shared" si="9"/>
        <v>122.72</v>
      </c>
      <c r="I43" s="313">
        <f t="shared" si="5"/>
        <v>128.73327999999998</v>
      </c>
      <c r="J43" s="55"/>
      <c r="K43">
        <f t="shared" si="10"/>
        <v>70</v>
      </c>
      <c r="L43" s="4" t="s">
        <v>54</v>
      </c>
      <c r="M43" s="4"/>
      <c r="N43" s="4"/>
      <c r="O43" s="84" t="s">
        <v>192</v>
      </c>
      <c r="P43" s="99" t="s">
        <v>57</v>
      </c>
      <c r="Q43" s="313"/>
    </row>
    <row r="44" spans="1:17" ht="15" thickBot="1">
      <c r="A44">
        <f t="shared" si="8"/>
        <v>19</v>
      </c>
      <c r="C44" s="31" t="s">
        <v>76</v>
      </c>
      <c r="D44" s="31"/>
      <c r="E44" s="31"/>
      <c r="F44" s="31" t="s">
        <v>77</v>
      </c>
      <c r="G44" s="73">
        <v>1656</v>
      </c>
      <c r="H44" s="64">
        <f t="shared" si="9"/>
        <v>1954.08</v>
      </c>
      <c r="I44" s="313">
        <f t="shared" si="5"/>
        <v>2049.8299199999997</v>
      </c>
      <c r="J44" s="55"/>
      <c r="K44">
        <f t="shared" si="10"/>
        <v>71</v>
      </c>
      <c r="L44" s="4" t="s">
        <v>59</v>
      </c>
      <c r="M44" s="4"/>
      <c r="N44" s="4"/>
      <c r="O44" s="84">
        <v>1148.8499999999999</v>
      </c>
      <c r="P44" s="99">
        <f t="shared" si="7"/>
        <v>1355.6429999999998</v>
      </c>
      <c r="Q44" s="313">
        <f t="shared" si="6"/>
        <v>1422.0695069999997</v>
      </c>
    </row>
    <row r="45" spans="1:17" ht="15" thickBot="1">
      <c r="A45">
        <f t="shared" si="8"/>
        <v>20</v>
      </c>
      <c r="C45" s="33" t="s">
        <v>281</v>
      </c>
      <c r="D45" s="32"/>
      <c r="E45" s="32"/>
      <c r="F45" s="32"/>
      <c r="G45" s="73">
        <v>950</v>
      </c>
      <c r="H45" s="64">
        <f t="shared" si="9"/>
        <v>1121</v>
      </c>
      <c r="I45" s="313">
        <f t="shared" si="5"/>
        <v>1175.9289999999999</v>
      </c>
      <c r="J45" s="55"/>
      <c r="K45">
        <f t="shared" si="10"/>
        <v>72</v>
      </c>
      <c r="L45" s="4" t="s">
        <v>61</v>
      </c>
      <c r="M45" s="4"/>
      <c r="N45" s="4"/>
      <c r="O45" s="84">
        <v>2674</v>
      </c>
      <c r="P45" s="99">
        <f>SUM(O45*1.22)</f>
        <v>3262.2799999999997</v>
      </c>
      <c r="Q45" s="313">
        <f t="shared" si="6"/>
        <v>3422.1317199999994</v>
      </c>
    </row>
    <row r="46" spans="1:17" ht="15" thickBot="1">
      <c r="A46">
        <f t="shared" si="8"/>
        <v>21</v>
      </c>
      <c r="C46" s="4" t="s">
        <v>81</v>
      </c>
      <c r="D46" s="32"/>
      <c r="E46" s="32"/>
      <c r="F46" s="32"/>
      <c r="G46" s="73">
        <v>950</v>
      </c>
      <c r="H46" s="64">
        <f t="shared" si="9"/>
        <v>1121</v>
      </c>
      <c r="I46" s="313">
        <f t="shared" si="5"/>
        <v>1175.9289999999999</v>
      </c>
      <c r="J46" s="55"/>
      <c r="K46">
        <f t="shared" si="10"/>
        <v>73</v>
      </c>
      <c r="L46" s="4" t="s">
        <v>63</v>
      </c>
      <c r="M46" s="4"/>
      <c r="N46" s="4"/>
      <c r="O46" s="84">
        <v>2915</v>
      </c>
      <c r="P46" s="99">
        <f>SUM(O46*1.22)</f>
        <v>3556.2999999999997</v>
      </c>
      <c r="Q46" s="313">
        <f t="shared" si="6"/>
        <v>3730.5586999999996</v>
      </c>
    </row>
    <row r="47" spans="1:17" ht="15" thickBot="1">
      <c r="A47">
        <f t="shared" si="8"/>
        <v>22</v>
      </c>
      <c r="C47" s="4" t="s">
        <v>83</v>
      </c>
      <c r="D47" s="32"/>
      <c r="E47" s="32"/>
      <c r="F47" s="32"/>
      <c r="G47" s="101">
        <v>250</v>
      </c>
      <c r="H47" s="64">
        <f t="shared" si="9"/>
        <v>295</v>
      </c>
      <c r="I47" s="313">
        <f t="shared" si="5"/>
        <v>309.45499999999998</v>
      </c>
      <c r="J47" s="55"/>
      <c r="K47">
        <f t="shared" si="10"/>
        <v>74</v>
      </c>
      <c r="L47" s="4" t="s">
        <v>67</v>
      </c>
      <c r="M47" s="4"/>
      <c r="N47" s="4"/>
      <c r="O47" s="84">
        <v>124.19999999999999</v>
      </c>
      <c r="P47" s="99">
        <f t="shared" si="7"/>
        <v>146.55599999999998</v>
      </c>
      <c r="Q47" s="313">
        <f t="shared" si="6"/>
        <v>153.73724399999998</v>
      </c>
    </row>
    <row r="48" spans="1:17" ht="15" thickBot="1">
      <c r="A48">
        <f t="shared" si="8"/>
        <v>23</v>
      </c>
      <c r="C48" s="4" t="s">
        <v>85</v>
      </c>
      <c r="D48" s="32"/>
      <c r="E48" s="32"/>
      <c r="F48" s="32"/>
      <c r="G48" s="101">
        <v>523</v>
      </c>
      <c r="H48" s="64">
        <f t="shared" si="9"/>
        <v>617.14</v>
      </c>
      <c r="I48" s="313">
        <f t="shared" si="5"/>
        <v>647.37985999999989</v>
      </c>
      <c r="J48" s="55"/>
      <c r="K48">
        <f t="shared" si="10"/>
        <v>75</v>
      </c>
      <c r="L48" s="4" t="s">
        <v>71</v>
      </c>
      <c r="M48" s="4"/>
      <c r="N48" s="4"/>
      <c r="O48" s="84">
        <v>550</v>
      </c>
      <c r="P48" s="99">
        <f t="shared" si="7"/>
        <v>649</v>
      </c>
      <c r="Q48" s="313">
        <f t="shared" si="6"/>
        <v>680.80099999999993</v>
      </c>
    </row>
    <row r="49" spans="1:17" ht="15" thickBot="1">
      <c r="A49">
        <f t="shared" si="8"/>
        <v>24</v>
      </c>
      <c r="C49" s="4" t="s">
        <v>87</v>
      </c>
      <c r="D49" s="31"/>
      <c r="E49" s="31"/>
      <c r="F49" s="31"/>
      <c r="G49" s="73">
        <v>523</v>
      </c>
      <c r="H49" s="64">
        <f t="shared" si="9"/>
        <v>617.14</v>
      </c>
      <c r="I49" s="313">
        <f t="shared" si="5"/>
        <v>647.37985999999989</v>
      </c>
      <c r="J49" s="55"/>
      <c r="K49">
        <f t="shared" si="10"/>
        <v>76</v>
      </c>
      <c r="L49" s="4" t="s">
        <v>75</v>
      </c>
      <c r="M49" s="4"/>
      <c r="N49" s="4"/>
      <c r="O49" s="84">
        <v>150.07499999999999</v>
      </c>
      <c r="P49" s="99">
        <f t="shared" si="7"/>
        <v>177.08849999999998</v>
      </c>
      <c r="Q49" s="313">
        <f t="shared" si="6"/>
        <v>185.76583649999998</v>
      </c>
    </row>
    <row r="50" spans="1:17" ht="15" thickBot="1">
      <c r="A50">
        <f t="shared" si="8"/>
        <v>25</v>
      </c>
      <c r="C50" s="4" t="s">
        <v>89</v>
      </c>
      <c r="D50" s="31"/>
      <c r="E50" s="31"/>
      <c r="F50" s="31"/>
      <c r="G50" s="73">
        <v>802</v>
      </c>
      <c r="H50" s="64">
        <f t="shared" si="9"/>
        <v>946.3599999999999</v>
      </c>
      <c r="I50" s="313">
        <f t="shared" si="5"/>
        <v>992.73163999999986</v>
      </c>
      <c r="J50" s="55"/>
      <c r="K50">
        <f t="shared" si="10"/>
        <v>77</v>
      </c>
      <c r="L50" s="4" t="s">
        <v>78</v>
      </c>
      <c r="M50" s="4"/>
      <c r="N50" s="4"/>
      <c r="O50" s="84">
        <v>476.09999999999997</v>
      </c>
      <c r="P50" s="99">
        <f t="shared" si="7"/>
        <v>561.79799999999989</v>
      </c>
      <c r="Q50" s="313">
        <f t="shared" si="6"/>
        <v>589.32610199999988</v>
      </c>
    </row>
    <row r="51" spans="1:17" ht="15" thickBot="1">
      <c r="A51">
        <f t="shared" si="8"/>
        <v>26</v>
      </c>
      <c r="C51" t="s">
        <v>91</v>
      </c>
      <c r="G51" s="73">
        <v>-95</v>
      </c>
      <c r="H51" s="64">
        <f t="shared" si="9"/>
        <v>-112.1</v>
      </c>
      <c r="I51" s="313">
        <f t="shared" si="5"/>
        <v>-117.59289999999999</v>
      </c>
      <c r="J51" s="55"/>
      <c r="K51">
        <f t="shared" si="10"/>
        <v>78</v>
      </c>
      <c r="L51" s="4" t="s">
        <v>80</v>
      </c>
      <c r="M51" s="4"/>
      <c r="N51" s="4"/>
      <c r="O51" s="84">
        <v>62.099999999999994</v>
      </c>
      <c r="P51" s="99">
        <f t="shared" si="7"/>
        <v>73.277999999999992</v>
      </c>
      <c r="Q51" s="313">
        <f t="shared" si="6"/>
        <v>76.868621999999988</v>
      </c>
    </row>
    <row r="52" spans="1:17" ht="15" thickBot="1">
      <c r="A52">
        <f t="shared" si="8"/>
        <v>27</v>
      </c>
      <c r="C52" t="s">
        <v>93</v>
      </c>
      <c r="G52" s="73">
        <v>-95</v>
      </c>
      <c r="H52" s="64">
        <f t="shared" si="9"/>
        <v>-112.1</v>
      </c>
      <c r="I52" s="313">
        <f t="shared" si="5"/>
        <v>-117.59289999999999</v>
      </c>
      <c r="J52" s="55"/>
      <c r="K52">
        <f t="shared" si="10"/>
        <v>79</v>
      </c>
      <c r="L52" s="4" t="s">
        <v>82</v>
      </c>
      <c r="M52" s="4"/>
      <c r="N52" s="4"/>
      <c r="O52" s="84">
        <v>155.25</v>
      </c>
      <c r="P52" s="99">
        <f t="shared" si="7"/>
        <v>183.19499999999999</v>
      </c>
      <c r="Q52" s="313">
        <f t="shared" si="6"/>
        <v>192.17155499999998</v>
      </c>
    </row>
    <row r="53" spans="1:17" ht="15" thickBot="1">
      <c r="A53">
        <f t="shared" si="8"/>
        <v>28</v>
      </c>
      <c r="C53" t="s">
        <v>95</v>
      </c>
      <c r="G53" s="73">
        <v>1656</v>
      </c>
      <c r="H53" s="64">
        <f t="shared" si="9"/>
        <v>1954.08</v>
      </c>
      <c r="I53" s="313">
        <f t="shared" si="5"/>
        <v>2049.8299199999997</v>
      </c>
      <c r="J53" s="55"/>
      <c r="K53">
        <f t="shared" si="10"/>
        <v>80</v>
      </c>
      <c r="L53" s="4" t="s">
        <v>84</v>
      </c>
      <c r="M53" s="4"/>
      <c r="N53" s="4"/>
      <c r="O53" s="84">
        <v>77.625</v>
      </c>
      <c r="P53" s="99">
        <f t="shared" si="7"/>
        <v>91.597499999999997</v>
      </c>
      <c r="Q53" s="313">
        <f t="shared" si="6"/>
        <v>96.085777499999992</v>
      </c>
    </row>
    <row r="54" spans="1:17" ht="15" thickBot="1">
      <c r="A54">
        <f t="shared" si="8"/>
        <v>29</v>
      </c>
      <c r="C54" t="s">
        <v>97</v>
      </c>
      <c r="G54" s="73">
        <v>2981</v>
      </c>
      <c r="H54" s="64">
        <f t="shared" si="9"/>
        <v>3517.58</v>
      </c>
      <c r="I54" s="313">
        <f t="shared" si="5"/>
        <v>3689.9414199999997</v>
      </c>
      <c r="J54" s="55"/>
      <c r="K54">
        <f t="shared" si="10"/>
        <v>81</v>
      </c>
      <c r="L54" s="4" t="s">
        <v>86</v>
      </c>
      <c r="M54" s="4"/>
      <c r="N54" s="4"/>
      <c r="O54" s="84">
        <v>827.99999999999989</v>
      </c>
      <c r="P54" s="99">
        <f t="shared" si="7"/>
        <v>977.03999999999985</v>
      </c>
      <c r="Q54" s="313">
        <f t="shared" si="6"/>
        <v>1024.9149599999998</v>
      </c>
    </row>
    <row r="55" spans="1:17" ht="15" thickBot="1">
      <c r="A55">
        <f t="shared" si="8"/>
        <v>30</v>
      </c>
      <c r="C55" t="s">
        <v>99</v>
      </c>
      <c r="G55" s="73">
        <v>719</v>
      </c>
      <c r="H55" s="64">
        <f t="shared" si="9"/>
        <v>848.42</v>
      </c>
      <c r="I55" s="313">
        <f t="shared" si="5"/>
        <v>889.99257999999986</v>
      </c>
      <c r="J55" s="55"/>
      <c r="K55">
        <f t="shared" si="10"/>
        <v>82</v>
      </c>
      <c r="L55" s="4" t="s">
        <v>88</v>
      </c>
      <c r="M55" s="4"/>
      <c r="N55" s="4"/>
      <c r="O55" s="84">
        <v>646.875</v>
      </c>
      <c r="P55" s="99">
        <f t="shared" si="7"/>
        <v>763.3125</v>
      </c>
      <c r="Q55" s="313">
        <f t="shared" si="6"/>
        <v>800.71481249999999</v>
      </c>
    </row>
    <row r="56" spans="1:17" ht="15" thickBot="1">
      <c r="A56">
        <f t="shared" si="8"/>
        <v>31</v>
      </c>
      <c r="C56" t="s">
        <v>101</v>
      </c>
      <c r="G56" s="73">
        <v>880</v>
      </c>
      <c r="H56" s="64">
        <f t="shared" si="9"/>
        <v>1038.3999999999999</v>
      </c>
      <c r="I56" s="313">
        <f t="shared" si="5"/>
        <v>1089.2815999999998</v>
      </c>
      <c r="J56" s="55"/>
      <c r="K56">
        <f t="shared" si="10"/>
        <v>83</v>
      </c>
      <c r="L56" t="s">
        <v>90</v>
      </c>
      <c r="O56" s="84">
        <v>362.25</v>
      </c>
      <c r="P56" s="99">
        <f t="shared" si="7"/>
        <v>427.45499999999998</v>
      </c>
      <c r="Q56" s="313">
        <f t="shared" si="6"/>
        <v>448.40029499999997</v>
      </c>
    </row>
    <row r="57" spans="1:17" ht="15" thickBot="1">
      <c r="A57">
        <f t="shared" si="8"/>
        <v>32</v>
      </c>
      <c r="C57" t="s">
        <v>103</v>
      </c>
      <c r="G57" s="73">
        <v>10</v>
      </c>
      <c r="H57" s="64">
        <f t="shared" si="9"/>
        <v>11.799999999999999</v>
      </c>
      <c r="I57" s="313">
        <f t="shared" si="5"/>
        <v>12.378199999999998</v>
      </c>
      <c r="J57" s="55"/>
      <c r="K57">
        <f t="shared" si="10"/>
        <v>84</v>
      </c>
      <c r="L57" s="4" t="s">
        <v>92</v>
      </c>
      <c r="M57" s="4"/>
      <c r="O57" s="112" t="s">
        <v>32</v>
      </c>
      <c r="P57" s="99" t="s">
        <v>9</v>
      </c>
      <c r="Q57" s="313"/>
    </row>
    <row r="58" spans="1:17" ht="15" thickBot="1">
      <c r="A58">
        <f t="shared" si="8"/>
        <v>33</v>
      </c>
      <c r="C58" t="s">
        <v>105</v>
      </c>
      <c r="G58" s="73">
        <v>10</v>
      </c>
      <c r="H58" s="64">
        <f t="shared" si="9"/>
        <v>11.799999999999999</v>
      </c>
      <c r="I58" s="313">
        <f t="shared" si="5"/>
        <v>12.378199999999998</v>
      </c>
      <c r="J58" s="55"/>
      <c r="K58">
        <f t="shared" si="10"/>
        <v>85</v>
      </c>
      <c r="L58" t="s">
        <v>94</v>
      </c>
      <c r="O58" s="84">
        <v>170.77499999999998</v>
      </c>
      <c r="P58" s="99">
        <f t="shared" si="7"/>
        <v>201.51449999999997</v>
      </c>
      <c r="Q58" s="313">
        <f t="shared" si="6"/>
        <v>211.38871049999995</v>
      </c>
    </row>
    <row r="59" spans="1:17" ht="15" thickBot="1">
      <c r="A59">
        <f t="shared" si="8"/>
        <v>34</v>
      </c>
      <c r="C59" t="s">
        <v>107</v>
      </c>
      <c r="G59" s="73">
        <v>0</v>
      </c>
      <c r="H59" s="64">
        <f t="shared" si="9"/>
        <v>0</v>
      </c>
      <c r="I59" s="313">
        <f t="shared" si="5"/>
        <v>0</v>
      </c>
      <c r="J59" s="55"/>
      <c r="K59">
        <f t="shared" si="10"/>
        <v>86</v>
      </c>
      <c r="L59" t="s">
        <v>96</v>
      </c>
      <c r="O59" s="84"/>
      <c r="P59" s="99">
        <f t="shared" si="7"/>
        <v>0</v>
      </c>
      <c r="Q59" s="313"/>
    </row>
    <row r="60" spans="1:17" ht="15" thickBot="1">
      <c r="A60">
        <f t="shared" si="8"/>
        <v>35</v>
      </c>
      <c r="C60" t="s">
        <v>109</v>
      </c>
      <c r="G60" s="73">
        <v>950</v>
      </c>
      <c r="H60" s="64">
        <f t="shared" si="9"/>
        <v>1121</v>
      </c>
      <c r="I60" s="313">
        <f t="shared" si="5"/>
        <v>1175.9289999999999</v>
      </c>
      <c r="J60" s="55"/>
      <c r="L60" t="s">
        <v>282</v>
      </c>
      <c r="O60" s="84">
        <v>6034.0499999999993</v>
      </c>
      <c r="P60" s="99">
        <f t="shared" si="7"/>
        <v>7120.1789999999992</v>
      </c>
      <c r="Q60" s="313">
        <f t="shared" si="6"/>
        <v>7469.0677709999991</v>
      </c>
    </row>
    <row r="61" spans="1:17" ht="15" thickBot="1">
      <c r="A61">
        <f t="shared" si="8"/>
        <v>36</v>
      </c>
      <c r="C61" t="s">
        <v>111</v>
      </c>
      <c r="G61" s="73">
        <v>1485</v>
      </c>
      <c r="H61" s="64">
        <f t="shared" si="9"/>
        <v>1752.3</v>
      </c>
      <c r="I61" s="313">
        <f t="shared" si="5"/>
        <v>1838.1626999999999</v>
      </c>
      <c r="J61" s="55"/>
      <c r="L61" t="s">
        <v>283</v>
      </c>
      <c r="O61" s="84">
        <v>4957.6499999999996</v>
      </c>
      <c r="P61" s="99">
        <f t="shared" si="7"/>
        <v>5850.0269999999991</v>
      </c>
      <c r="Q61" s="313">
        <f t="shared" si="6"/>
        <v>6136.6783229999983</v>
      </c>
    </row>
    <row r="62" spans="1:17" ht="15" thickBot="1">
      <c r="A62">
        <f t="shared" si="8"/>
        <v>37</v>
      </c>
      <c r="C62" s="4" t="s">
        <v>113</v>
      </c>
      <c r="G62" s="73">
        <v>300</v>
      </c>
      <c r="H62" s="64">
        <f t="shared" si="9"/>
        <v>354</v>
      </c>
      <c r="I62" s="313">
        <f t="shared" si="5"/>
        <v>371.346</v>
      </c>
      <c r="J62" s="55"/>
      <c r="L62" t="s">
        <v>276</v>
      </c>
      <c r="O62" s="84">
        <v>5413.0499999999993</v>
      </c>
      <c r="P62" s="99">
        <f t="shared" si="7"/>
        <v>6387.3989999999985</v>
      </c>
      <c r="Q62" s="313">
        <f t="shared" si="6"/>
        <v>6700.3815509999977</v>
      </c>
    </row>
    <row r="63" spans="1:17" ht="15" thickBot="1">
      <c r="A63">
        <f t="shared" si="8"/>
        <v>38</v>
      </c>
      <c r="C63" s="4" t="s">
        <v>115</v>
      </c>
      <c r="G63" s="73">
        <v>-20</v>
      </c>
      <c r="H63" s="64">
        <f t="shared" si="9"/>
        <v>-23.599999999999998</v>
      </c>
      <c r="I63" s="313">
        <f t="shared" si="5"/>
        <v>-24.756399999999996</v>
      </c>
      <c r="J63" s="55"/>
      <c r="K63">
        <f>(K59+1)</f>
        <v>87</v>
      </c>
      <c r="L63" t="s">
        <v>284</v>
      </c>
      <c r="O63" s="84">
        <v>0</v>
      </c>
      <c r="P63" s="99">
        <f t="shared" si="7"/>
        <v>0</v>
      </c>
      <c r="Q63" s="313"/>
    </row>
    <row r="64" spans="1:17" ht="15" thickBot="1">
      <c r="A64">
        <f t="shared" si="8"/>
        <v>39</v>
      </c>
      <c r="C64" s="4" t="s">
        <v>117</v>
      </c>
      <c r="G64" s="73">
        <v>-100</v>
      </c>
      <c r="H64" s="64">
        <f t="shared" si="9"/>
        <v>-118</v>
      </c>
      <c r="I64" s="313">
        <f t="shared" si="5"/>
        <v>-123.782</v>
      </c>
      <c r="J64" s="55"/>
      <c r="K64">
        <f>(K63+1)</f>
        <v>88</v>
      </c>
      <c r="L64" s="4" t="s">
        <v>100</v>
      </c>
      <c r="M64" s="4"/>
      <c r="N64" s="4"/>
      <c r="O64" s="84">
        <v>3110.1749999999997</v>
      </c>
      <c r="P64" s="99">
        <f t="shared" si="7"/>
        <v>3670.0064999999995</v>
      </c>
      <c r="Q64" s="313">
        <f t="shared" si="6"/>
        <v>3849.836818499999</v>
      </c>
    </row>
    <row r="65" spans="1:17" ht="15" thickBot="1">
      <c r="A65">
        <f t="shared" si="8"/>
        <v>40</v>
      </c>
      <c r="C65" t="s">
        <v>119</v>
      </c>
      <c r="G65" s="73">
        <v>259</v>
      </c>
      <c r="H65" s="64">
        <f t="shared" si="9"/>
        <v>305.62</v>
      </c>
      <c r="I65" s="313">
        <f t="shared" si="5"/>
        <v>320.59537999999998</v>
      </c>
      <c r="J65" s="55"/>
      <c r="K65">
        <f t="shared" si="10"/>
        <v>89</v>
      </c>
      <c r="L65" s="4" t="s">
        <v>102</v>
      </c>
      <c r="M65" s="4"/>
      <c r="N65" s="4"/>
      <c r="O65" s="84">
        <v>7141.4999999999991</v>
      </c>
      <c r="P65" s="99">
        <f t="shared" si="7"/>
        <v>8426.9699999999993</v>
      </c>
      <c r="Q65" s="313">
        <f t="shared" si="6"/>
        <v>8839.891529999999</v>
      </c>
    </row>
    <row r="66" spans="1:17" ht="15" thickBot="1">
      <c r="A66">
        <f t="shared" si="8"/>
        <v>41</v>
      </c>
      <c r="C66" t="s">
        <v>121</v>
      </c>
      <c r="G66" s="73">
        <v>41</v>
      </c>
      <c r="H66" s="64">
        <f t="shared" si="9"/>
        <v>48.379999999999995</v>
      </c>
      <c r="I66" s="313">
        <f t="shared" si="5"/>
        <v>50.750619999999991</v>
      </c>
      <c r="J66" s="55"/>
      <c r="K66">
        <f t="shared" si="10"/>
        <v>90</v>
      </c>
      <c r="L66" s="4" t="s">
        <v>104</v>
      </c>
      <c r="M66" s="4"/>
      <c r="N66" s="4"/>
      <c r="O66" s="84">
        <v>7969.4999999999991</v>
      </c>
      <c r="P66" s="99">
        <f t="shared" si="7"/>
        <v>9404.0099999999984</v>
      </c>
      <c r="Q66" s="313">
        <f t="shared" si="6"/>
        <v>9864.8064899999972</v>
      </c>
    </row>
    <row r="67" spans="1:17" ht="15" thickBot="1">
      <c r="A67">
        <f t="shared" si="8"/>
        <v>42</v>
      </c>
      <c r="C67" t="s">
        <v>123</v>
      </c>
      <c r="G67" s="73">
        <v>150</v>
      </c>
      <c r="H67" s="64">
        <f t="shared" si="9"/>
        <v>177</v>
      </c>
      <c r="I67" s="313">
        <f t="shared" si="5"/>
        <v>185.673</v>
      </c>
      <c r="J67" s="55"/>
      <c r="K67">
        <f t="shared" si="10"/>
        <v>91</v>
      </c>
      <c r="L67" t="s">
        <v>106</v>
      </c>
      <c r="O67" s="169">
        <v>7511</v>
      </c>
      <c r="P67" s="99">
        <f t="shared" si="7"/>
        <v>8862.98</v>
      </c>
      <c r="Q67" s="313">
        <f t="shared" si="6"/>
        <v>9297.2660199999991</v>
      </c>
    </row>
    <row r="68" spans="1:17" ht="15" thickBot="1">
      <c r="A68">
        <f t="shared" si="8"/>
        <v>43</v>
      </c>
      <c r="C68" t="s">
        <v>125</v>
      </c>
      <c r="G68" s="73">
        <v>575</v>
      </c>
      <c r="H68" s="64">
        <f t="shared" si="9"/>
        <v>678.5</v>
      </c>
      <c r="I68" s="313">
        <f t="shared" si="5"/>
        <v>711.74649999999997</v>
      </c>
      <c r="J68" s="55"/>
      <c r="K68">
        <f t="shared" si="10"/>
        <v>92</v>
      </c>
      <c r="L68" s="4" t="s">
        <v>108</v>
      </c>
      <c r="M68" s="4"/>
      <c r="N68" s="4"/>
      <c r="O68" s="119" t="s">
        <v>57</v>
      </c>
      <c r="P68" s="99"/>
      <c r="Q68" s="313"/>
    </row>
    <row r="69" spans="1:17" ht="15" thickBot="1">
      <c r="A69">
        <f t="shared" si="8"/>
        <v>44</v>
      </c>
      <c r="C69" t="s">
        <v>127</v>
      </c>
      <c r="G69" s="73">
        <v>166</v>
      </c>
      <c r="H69" s="64">
        <f t="shared" si="9"/>
        <v>195.88</v>
      </c>
      <c r="I69" s="313">
        <f t="shared" si="5"/>
        <v>205.47811999999999</v>
      </c>
      <c r="J69" s="55"/>
      <c r="K69">
        <f t="shared" si="10"/>
        <v>93</v>
      </c>
      <c r="L69" s="4" t="s">
        <v>110</v>
      </c>
      <c r="M69" s="4"/>
      <c r="N69" s="4"/>
      <c r="O69" s="169">
        <v>1060.875</v>
      </c>
      <c r="P69" s="99">
        <f t="shared" si="7"/>
        <v>1251.8325</v>
      </c>
      <c r="Q69" s="313">
        <f t="shared" si="6"/>
        <v>1313.1722924999999</v>
      </c>
    </row>
    <row r="70" spans="1:17" ht="15" thickBot="1">
      <c r="A70">
        <f t="shared" si="8"/>
        <v>45</v>
      </c>
      <c r="C70" s="4" t="s">
        <v>129</v>
      </c>
      <c r="G70" s="73"/>
      <c r="H70" s="64"/>
      <c r="I70" s="313"/>
      <c r="J70" s="55"/>
      <c r="K70">
        <f t="shared" si="10"/>
        <v>94</v>
      </c>
      <c r="L70" s="4" t="s">
        <v>112</v>
      </c>
      <c r="M70" s="4"/>
      <c r="N70" s="4"/>
      <c r="O70" s="169">
        <v>77.625</v>
      </c>
      <c r="P70" s="99">
        <f t="shared" si="7"/>
        <v>91.597499999999997</v>
      </c>
      <c r="Q70" s="313">
        <f t="shared" si="6"/>
        <v>96.085777499999992</v>
      </c>
    </row>
    <row r="71" spans="1:17" ht="15" thickBot="1">
      <c r="C71" s="4" t="s">
        <v>285</v>
      </c>
      <c r="G71" s="73">
        <v>4512.5999999999995</v>
      </c>
      <c r="H71" s="64">
        <f>SUM(G71*1.4)</f>
        <v>6317.6399999999985</v>
      </c>
      <c r="I71" s="313">
        <f t="shared" si="5"/>
        <v>6627.2043599999979</v>
      </c>
      <c r="J71" s="57"/>
      <c r="K71">
        <f t="shared" si="10"/>
        <v>95</v>
      </c>
      <c r="L71" t="s">
        <v>114</v>
      </c>
      <c r="O71" s="169">
        <v>3619</v>
      </c>
      <c r="P71" s="99">
        <f t="shared" si="7"/>
        <v>4270.42</v>
      </c>
      <c r="Q71" s="313">
        <f t="shared" si="6"/>
        <v>4479.67058</v>
      </c>
    </row>
    <row r="72" spans="1:17" ht="15" thickBot="1">
      <c r="C72" s="4" t="s">
        <v>286</v>
      </c>
      <c r="G72" s="73">
        <v>4512.5999999999995</v>
      </c>
      <c r="H72" s="64">
        <f>SUM(G72*1.4)</f>
        <v>6317.6399999999985</v>
      </c>
      <c r="I72" s="313">
        <f t="shared" si="5"/>
        <v>6627.2043599999979</v>
      </c>
      <c r="J72" s="57"/>
      <c r="K72">
        <f t="shared" si="10"/>
        <v>96</v>
      </c>
      <c r="L72" t="s">
        <v>116</v>
      </c>
      <c r="O72" s="169">
        <v>4896</v>
      </c>
      <c r="P72" s="99">
        <f t="shared" si="7"/>
        <v>5777.28</v>
      </c>
      <c r="Q72" s="313">
        <f t="shared" si="6"/>
        <v>6060.3667199999991</v>
      </c>
    </row>
    <row r="73" spans="1:17" ht="15" thickBot="1">
      <c r="C73" s="4" t="s">
        <v>287</v>
      </c>
      <c r="G73" s="73">
        <v>3218.85</v>
      </c>
      <c r="H73" s="64">
        <f>SUM(G73*1.4)</f>
        <v>4506.3899999999994</v>
      </c>
      <c r="I73" s="313">
        <f t="shared" si="5"/>
        <v>4727.2031099999995</v>
      </c>
      <c r="J73" s="57"/>
      <c r="K73">
        <f t="shared" si="10"/>
        <v>97</v>
      </c>
      <c r="L73" t="s">
        <v>118</v>
      </c>
      <c r="O73" s="169">
        <v>6310</v>
      </c>
      <c r="P73" s="99">
        <f t="shared" si="7"/>
        <v>7445.7999999999993</v>
      </c>
      <c r="Q73" s="313">
        <f t="shared" si="6"/>
        <v>7810.6441999999988</v>
      </c>
    </row>
    <row r="74" spans="1:17" ht="15" thickBot="1">
      <c r="A74">
        <f>(A70+1)</f>
        <v>46</v>
      </c>
      <c r="C74" s="4" t="s">
        <v>131</v>
      </c>
      <c r="G74" s="73"/>
      <c r="H74" s="64"/>
      <c r="I74" s="313"/>
      <c r="J74" s="55"/>
      <c r="K74">
        <f t="shared" si="10"/>
        <v>98</v>
      </c>
      <c r="L74" t="s">
        <v>120</v>
      </c>
      <c r="O74" s="169">
        <v>3097.5</v>
      </c>
      <c r="P74" s="99">
        <f t="shared" si="7"/>
        <v>3655.0499999999997</v>
      </c>
      <c r="Q74" s="313">
        <f t="shared" si="6"/>
        <v>3834.1474499999995</v>
      </c>
    </row>
    <row r="75" spans="1:17" ht="15" thickBot="1">
      <c r="C75" s="4" t="s">
        <v>285</v>
      </c>
      <c r="G75" s="73">
        <v>7353.6749999999993</v>
      </c>
      <c r="H75" s="64">
        <f>SUM(G75*1.24)</f>
        <v>9118.5569999999989</v>
      </c>
      <c r="I75" s="313">
        <f t="shared" si="5"/>
        <v>9565.3662929999973</v>
      </c>
      <c r="J75" s="57"/>
      <c r="K75">
        <f t="shared" si="10"/>
        <v>99</v>
      </c>
      <c r="L75" t="s">
        <v>122</v>
      </c>
      <c r="O75" s="169">
        <v>1663.75</v>
      </c>
      <c r="P75" s="99">
        <f t="shared" si="7"/>
        <v>1963.2249999999999</v>
      </c>
      <c r="Q75" s="313">
        <f t="shared" si="6"/>
        <v>2059.4230249999996</v>
      </c>
    </row>
    <row r="76" spans="1:17" ht="15" thickBot="1">
      <c r="C76" s="4" t="s">
        <v>286</v>
      </c>
      <c r="G76" s="73">
        <v>7353.6749999999993</v>
      </c>
      <c r="H76" s="64">
        <f>SUM(G76*1.24)</f>
        <v>9118.5569999999989</v>
      </c>
      <c r="I76" s="313">
        <f t="shared" si="5"/>
        <v>9565.3662929999973</v>
      </c>
      <c r="J76" s="57"/>
      <c r="K76">
        <f t="shared" si="10"/>
        <v>100</v>
      </c>
      <c r="L76" t="s">
        <v>124</v>
      </c>
      <c r="O76" s="169">
        <v>3275</v>
      </c>
      <c r="P76" s="99">
        <f t="shared" si="7"/>
        <v>3864.5</v>
      </c>
      <c r="Q76" s="313">
        <f t="shared" si="6"/>
        <v>4053.8604999999998</v>
      </c>
    </row>
    <row r="77" spans="1:17" ht="15" thickBot="1">
      <c r="C77" s="4" t="s">
        <v>287</v>
      </c>
      <c r="G77" s="73">
        <v>6059.9249999999993</v>
      </c>
      <c r="H77" s="64">
        <f>SUM(G77*1.24)</f>
        <v>7514.3069999999989</v>
      </c>
      <c r="I77" s="313">
        <f t="shared" si="5"/>
        <v>7882.508042999998</v>
      </c>
      <c r="J77" s="57"/>
      <c r="K77">
        <f t="shared" si="10"/>
        <v>101</v>
      </c>
      <c r="L77" t="s">
        <v>126</v>
      </c>
      <c r="O77" s="169">
        <v>4195</v>
      </c>
      <c r="P77" s="99">
        <f t="shared" si="7"/>
        <v>4950.0999999999995</v>
      </c>
      <c r="Q77" s="313">
        <f t="shared" si="6"/>
        <v>5192.6548999999995</v>
      </c>
    </row>
    <row r="78" spans="1:17" ht="15" thickBot="1">
      <c r="A78">
        <f>(A74+1)</f>
        <v>47</v>
      </c>
      <c r="C78" s="4" t="s">
        <v>133</v>
      </c>
      <c r="G78" s="73"/>
      <c r="H78" s="64"/>
      <c r="I78" s="313">
        <f t="shared" si="5"/>
        <v>0</v>
      </c>
      <c r="J78" s="55"/>
      <c r="K78">
        <f t="shared" si="10"/>
        <v>102</v>
      </c>
      <c r="L78" t="s">
        <v>128</v>
      </c>
      <c r="O78" s="169">
        <v>4595</v>
      </c>
      <c r="P78" s="99">
        <f t="shared" si="7"/>
        <v>5422.0999999999995</v>
      </c>
      <c r="Q78" s="313">
        <f t="shared" si="6"/>
        <v>5687.7828999999992</v>
      </c>
    </row>
    <row r="79" spans="1:17" ht="15" thickBot="1">
      <c r="C79" s="4" t="s">
        <v>285</v>
      </c>
      <c r="G79" s="73">
        <v>4455.6749999999993</v>
      </c>
      <c r="H79" s="64">
        <f>SUM(G79*1.4)</f>
        <v>6237.9449999999988</v>
      </c>
      <c r="I79" s="313">
        <f t="shared" si="5"/>
        <v>6543.604304999998</v>
      </c>
      <c r="J79" s="57"/>
      <c r="K79">
        <f t="shared" si="10"/>
        <v>103</v>
      </c>
      <c r="L79" s="4" t="s">
        <v>130</v>
      </c>
      <c r="M79" s="4"/>
      <c r="N79" s="4"/>
      <c r="O79" s="169">
        <v>3648.3749999999995</v>
      </c>
      <c r="P79" s="99">
        <f t="shared" si="7"/>
        <v>4305.0824999999995</v>
      </c>
      <c r="Q79" s="313">
        <f t="shared" si="6"/>
        <v>4516.031542499999</v>
      </c>
    </row>
    <row r="80" spans="1:17" ht="15" thickBot="1">
      <c r="C80" s="4" t="s">
        <v>286</v>
      </c>
      <c r="G80" s="73">
        <v>4455.6749999999993</v>
      </c>
      <c r="H80" s="64">
        <f>SUM(G80*1.4)</f>
        <v>6237.9449999999988</v>
      </c>
      <c r="I80" s="313">
        <f t="shared" si="5"/>
        <v>6543.604304999998</v>
      </c>
      <c r="J80" s="57"/>
      <c r="K80">
        <f t="shared" si="10"/>
        <v>104</v>
      </c>
      <c r="L80" s="4" t="s">
        <v>134</v>
      </c>
      <c r="M80" s="4"/>
      <c r="N80" s="4"/>
      <c r="O80" s="169">
        <v>4497.0749999999998</v>
      </c>
      <c r="P80" s="99">
        <f t="shared" si="7"/>
        <v>5306.5484999999999</v>
      </c>
      <c r="Q80" s="313">
        <f t="shared" si="6"/>
        <v>5566.5693764999996</v>
      </c>
    </row>
    <row r="81" spans="1:17" ht="15" thickBot="1">
      <c r="C81" s="4" t="s">
        <v>287</v>
      </c>
      <c r="G81" s="73">
        <v>3203.3249999999998</v>
      </c>
      <c r="H81" s="64">
        <f>SUM(G81*1.4)</f>
        <v>4484.6549999999997</v>
      </c>
      <c r="I81" s="313">
        <f t="shared" si="5"/>
        <v>4704.4030949999997</v>
      </c>
      <c r="J81" s="57"/>
      <c r="K81">
        <f t="shared" si="10"/>
        <v>105</v>
      </c>
      <c r="L81" s="4" t="s">
        <v>132</v>
      </c>
      <c r="M81" s="4"/>
      <c r="N81" s="4"/>
      <c r="O81" s="169">
        <v>1552.4999999999998</v>
      </c>
      <c r="P81" s="99">
        <f t="shared" si="7"/>
        <v>1831.9499999999996</v>
      </c>
      <c r="Q81" s="313">
        <f t="shared" si="6"/>
        <v>1921.7155499999994</v>
      </c>
    </row>
    <row r="82" spans="1:17" ht="15" thickBot="1">
      <c r="A82">
        <f>(A78+1)</f>
        <v>48</v>
      </c>
      <c r="C82" s="4" t="s">
        <v>135</v>
      </c>
      <c r="G82" s="73"/>
      <c r="H82" s="64"/>
      <c r="I82" s="313">
        <f t="shared" si="5"/>
        <v>0</v>
      </c>
      <c r="J82" s="55"/>
      <c r="K82">
        <f t="shared" si="10"/>
        <v>106</v>
      </c>
      <c r="L82" s="4" t="s">
        <v>136</v>
      </c>
      <c r="M82" s="4"/>
      <c r="N82" s="4"/>
      <c r="O82" s="169">
        <v>900</v>
      </c>
      <c r="P82" s="99">
        <f t="shared" si="7"/>
        <v>1062</v>
      </c>
      <c r="Q82" s="313">
        <f t="shared" si="6"/>
        <v>1114.038</v>
      </c>
    </row>
    <row r="83" spans="1:17" ht="15" thickBot="1">
      <c r="C83" s="4" t="s">
        <v>285</v>
      </c>
      <c r="G83" s="73">
        <v>4569.5249999999996</v>
      </c>
      <c r="H83" s="64">
        <f>SUM(G83*1.4)</f>
        <v>6397.3349999999991</v>
      </c>
      <c r="I83" s="313">
        <f t="shared" si="5"/>
        <v>6710.8044149999987</v>
      </c>
      <c r="J83" s="58"/>
      <c r="K83">
        <f t="shared" si="10"/>
        <v>107</v>
      </c>
      <c r="L83" t="s">
        <v>138</v>
      </c>
      <c r="O83" s="169">
        <v>5723.5499999999993</v>
      </c>
      <c r="P83" s="99">
        <f t="shared" si="7"/>
        <v>6753.7889999999989</v>
      </c>
      <c r="Q83" s="313">
        <f t="shared" si="6"/>
        <v>7084.7246609999984</v>
      </c>
    </row>
    <row r="84" spans="1:17" ht="15" thickBot="1">
      <c r="C84" s="4" t="s">
        <v>286</v>
      </c>
      <c r="G84" s="73">
        <v>4569.5249999999996</v>
      </c>
      <c r="H84" s="64">
        <f>SUM(G84*1.4)</f>
        <v>6397.3349999999991</v>
      </c>
      <c r="I84" s="313">
        <f t="shared" si="5"/>
        <v>6710.8044149999987</v>
      </c>
      <c r="J84" s="57"/>
      <c r="K84">
        <f t="shared" si="10"/>
        <v>108</v>
      </c>
      <c r="L84" t="s">
        <v>140</v>
      </c>
      <c r="O84" s="169">
        <v>2007.8999999999999</v>
      </c>
      <c r="P84" s="99">
        <f t="shared" si="7"/>
        <v>2369.3219999999997</v>
      </c>
      <c r="Q84" s="313">
        <f t="shared" si="6"/>
        <v>2485.4187779999993</v>
      </c>
    </row>
    <row r="85" spans="1:17" ht="15" thickBot="1">
      <c r="C85" s="4" t="s">
        <v>287</v>
      </c>
      <c r="G85" s="73">
        <v>3275.7749999999996</v>
      </c>
      <c r="H85" s="64">
        <f>SUM(G85*1.4)</f>
        <v>4586.0849999999991</v>
      </c>
      <c r="I85" s="313">
        <f t="shared" si="5"/>
        <v>4810.8031649999984</v>
      </c>
      <c r="J85" s="58"/>
      <c r="K85">
        <f t="shared" si="10"/>
        <v>109</v>
      </c>
      <c r="L85" t="s">
        <v>142</v>
      </c>
      <c r="O85" s="169">
        <v>11229.75</v>
      </c>
      <c r="P85" s="99">
        <f t="shared" si="7"/>
        <v>13251.105</v>
      </c>
      <c r="Q85" s="313">
        <f t="shared" si="6"/>
        <v>13900.409144999998</v>
      </c>
    </row>
    <row r="86" spans="1:17" ht="15" thickBot="1">
      <c r="A86">
        <f>(A82+1)</f>
        <v>49</v>
      </c>
      <c r="C86" s="4" t="s">
        <v>137</v>
      </c>
      <c r="G86" s="73" t="s">
        <v>288</v>
      </c>
      <c r="H86" s="64" t="s">
        <v>489</v>
      </c>
      <c r="I86" s="313"/>
      <c r="J86" s="55"/>
      <c r="K86">
        <f t="shared" si="10"/>
        <v>110</v>
      </c>
      <c r="L86" s="4" t="s">
        <v>144</v>
      </c>
      <c r="M86" s="4"/>
      <c r="N86" s="4"/>
      <c r="O86" s="169">
        <v>4497.0749999999998</v>
      </c>
      <c r="P86" s="99">
        <f t="shared" si="7"/>
        <v>5306.5484999999999</v>
      </c>
      <c r="Q86" s="313">
        <f t="shared" si="6"/>
        <v>5566.5693764999996</v>
      </c>
    </row>
    <row r="87" spans="1:17" ht="15" thickBot="1">
      <c r="A87">
        <f>(A86+1)</f>
        <v>50</v>
      </c>
      <c r="C87" s="4" t="s">
        <v>290</v>
      </c>
      <c r="G87" s="73"/>
      <c r="H87" s="64"/>
      <c r="I87" s="313"/>
      <c r="J87" s="55"/>
      <c r="K87">
        <f t="shared" si="10"/>
        <v>111</v>
      </c>
      <c r="L87" s="12" t="s">
        <v>146</v>
      </c>
      <c r="M87" s="12"/>
      <c r="N87" s="12"/>
      <c r="O87" s="169">
        <v>6830.9999999999991</v>
      </c>
      <c r="P87" s="99">
        <f t="shared" si="7"/>
        <v>8060.5799999999981</v>
      </c>
      <c r="Q87" s="313">
        <f t="shared" si="6"/>
        <v>8455.5484199999973</v>
      </c>
    </row>
    <row r="88" spans="1:17" ht="15" thickBot="1">
      <c r="C88" s="4" t="s">
        <v>285</v>
      </c>
      <c r="G88" s="73">
        <v>1428.3</v>
      </c>
      <c r="H88" s="64">
        <f>SUM(G88*1.8)</f>
        <v>2570.94</v>
      </c>
      <c r="I88" s="313">
        <f t="shared" si="5"/>
        <v>2696.91606</v>
      </c>
      <c r="J88" s="58"/>
      <c r="K88">
        <f t="shared" si="10"/>
        <v>112</v>
      </c>
      <c r="L88" s="4" t="s">
        <v>148</v>
      </c>
      <c r="M88" s="4"/>
      <c r="N88" s="4"/>
      <c r="O88" s="169">
        <v>1676.6999999999998</v>
      </c>
      <c r="P88" s="99">
        <f t="shared" si="7"/>
        <v>1978.5059999999996</v>
      </c>
      <c r="Q88" s="313">
        <f t="shared" si="6"/>
        <v>2075.4527939999994</v>
      </c>
    </row>
    <row r="89" spans="1:17" ht="15" thickBot="1">
      <c r="C89" s="4" t="s">
        <v>286</v>
      </c>
      <c r="G89" s="73">
        <v>1428.3</v>
      </c>
      <c r="H89" s="64">
        <f>SUM(G89*2)</f>
        <v>2856.6</v>
      </c>
      <c r="I89" s="313">
        <f t="shared" si="5"/>
        <v>2996.5733999999998</v>
      </c>
      <c r="J89" s="58"/>
      <c r="K89">
        <f t="shared" si="10"/>
        <v>113</v>
      </c>
      <c r="L89" t="s">
        <v>150</v>
      </c>
      <c r="O89" s="169">
        <v>200</v>
      </c>
      <c r="P89" s="99">
        <f t="shared" si="7"/>
        <v>236</v>
      </c>
      <c r="Q89" s="313">
        <f t="shared" si="6"/>
        <v>247.56399999999999</v>
      </c>
    </row>
    <row r="90" spans="1:17" ht="15" thickBot="1">
      <c r="C90" s="4" t="s">
        <v>287</v>
      </c>
      <c r="G90" s="73">
        <v>1676.6999999999998</v>
      </c>
      <c r="H90" s="64">
        <f>SUM(G90*1.6)</f>
        <v>2682.72</v>
      </c>
      <c r="I90" s="313">
        <f t="shared" ref="I90:I106" si="11">H90*1.049</f>
        <v>2814.1732799999995</v>
      </c>
      <c r="J90" s="58"/>
      <c r="K90">
        <f t="shared" si="10"/>
        <v>114</v>
      </c>
      <c r="L90" t="s">
        <v>152</v>
      </c>
      <c r="O90" s="169">
        <v>200</v>
      </c>
      <c r="P90" s="99">
        <f t="shared" si="7"/>
        <v>236</v>
      </c>
      <c r="Q90" s="313">
        <f t="shared" ref="Q90:Q97" si="12">P90*1.049</f>
        <v>247.56399999999999</v>
      </c>
    </row>
    <row r="91" spans="1:17" ht="15" thickBot="1">
      <c r="A91">
        <f>(A87+1)</f>
        <v>51</v>
      </c>
      <c r="C91" s="4" t="s">
        <v>291</v>
      </c>
      <c r="G91" s="73"/>
      <c r="H91" s="64"/>
      <c r="I91" s="313"/>
      <c r="J91" s="55"/>
      <c r="K91">
        <f t="shared" si="10"/>
        <v>115</v>
      </c>
      <c r="L91" t="s">
        <v>154</v>
      </c>
      <c r="O91" s="169">
        <v>300</v>
      </c>
      <c r="P91" s="99">
        <f>SUM(O91*1.18)</f>
        <v>354</v>
      </c>
      <c r="Q91" s="313">
        <f t="shared" si="12"/>
        <v>371.346</v>
      </c>
    </row>
    <row r="92" spans="1:17" ht="15" thickBot="1">
      <c r="C92" s="4" t="s">
        <v>285</v>
      </c>
      <c r="G92" s="73">
        <v>7803.9</v>
      </c>
      <c r="H92" s="64">
        <f>SUM(G92*1.2)</f>
        <v>9364.6799999999985</v>
      </c>
      <c r="I92" s="313">
        <f t="shared" si="11"/>
        <v>9823.5493199999983</v>
      </c>
      <c r="J92" s="58"/>
      <c r="K92">
        <f t="shared" si="10"/>
        <v>116</v>
      </c>
      <c r="L92" t="s">
        <v>156</v>
      </c>
      <c r="O92" s="169">
        <v>300</v>
      </c>
      <c r="P92" s="99">
        <f>SUM(O92*1.18)</f>
        <v>354</v>
      </c>
      <c r="Q92" s="313">
        <f t="shared" si="12"/>
        <v>371.346</v>
      </c>
    </row>
    <row r="93" spans="1:17" ht="15" thickBot="1">
      <c r="C93" s="4" t="s">
        <v>286</v>
      </c>
      <c r="G93" s="73">
        <v>8859.5999999999985</v>
      </c>
      <c r="H93" s="64">
        <f>SUM(G93*1.2)</f>
        <v>10631.519999999999</v>
      </c>
      <c r="I93" s="313">
        <f t="shared" si="11"/>
        <v>11152.464479999999</v>
      </c>
      <c r="J93" s="58"/>
      <c r="K93">
        <f t="shared" si="10"/>
        <v>117</v>
      </c>
      <c r="L93" t="s">
        <v>157</v>
      </c>
      <c r="O93" s="169">
        <v>550</v>
      </c>
      <c r="P93" s="99">
        <f>SUM(O93*1.18)</f>
        <v>649</v>
      </c>
      <c r="Q93" s="313">
        <f t="shared" si="12"/>
        <v>680.80099999999993</v>
      </c>
    </row>
    <row r="94" spans="1:17" ht="15" thickBot="1">
      <c r="C94" s="4" t="s">
        <v>287</v>
      </c>
      <c r="G94" s="73">
        <v>8233.4249999999993</v>
      </c>
      <c r="H94" s="64">
        <f>SUM(G94*1.2)</f>
        <v>9880.1099999999988</v>
      </c>
      <c r="I94" s="313">
        <f t="shared" si="11"/>
        <v>10364.235389999998</v>
      </c>
      <c r="J94" s="58"/>
      <c r="K94">
        <f t="shared" si="10"/>
        <v>118</v>
      </c>
      <c r="L94" t="s">
        <v>158</v>
      </c>
      <c r="O94" s="169">
        <v>1460</v>
      </c>
      <c r="P94" s="99">
        <f>SUM(O94*1.39)</f>
        <v>2029.3999999999999</v>
      </c>
      <c r="Q94" s="313">
        <f t="shared" si="12"/>
        <v>2128.8405999999995</v>
      </c>
    </row>
    <row r="95" spans="1:17" ht="15" thickBot="1">
      <c r="A95">
        <f>(A91+1)</f>
        <v>52</v>
      </c>
      <c r="C95" s="4" t="s">
        <v>141</v>
      </c>
      <c r="G95" s="73"/>
      <c r="H95" s="64"/>
      <c r="I95" s="313"/>
      <c r="J95" s="55"/>
      <c r="K95">
        <f t="shared" si="10"/>
        <v>119</v>
      </c>
      <c r="L95" t="s">
        <v>160</v>
      </c>
      <c r="O95" s="169">
        <v>1769.85</v>
      </c>
      <c r="P95" s="99">
        <f>SUM(O95*1.39)</f>
        <v>2460.0914999999995</v>
      </c>
      <c r="Q95" s="313">
        <f t="shared" si="12"/>
        <v>2580.6359834999994</v>
      </c>
    </row>
    <row r="96" spans="1:17" ht="15" thickBot="1">
      <c r="C96" s="4" t="s">
        <v>285</v>
      </c>
      <c r="G96" s="73">
        <v>2126.9249999999997</v>
      </c>
      <c r="H96" s="64">
        <f>SUM(G96*1.4)</f>
        <v>2977.6949999999993</v>
      </c>
      <c r="I96" s="313">
        <f t="shared" si="11"/>
        <v>3123.6020549999989</v>
      </c>
      <c r="J96" s="58"/>
      <c r="K96">
        <f t="shared" si="10"/>
        <v>120</v>
      </c>
      <c r="L96" t="s">
        <v>161</v>
      </c>
      <c r="O96" s="169">
        <v>1875</v>
      </c>
      <c r="P96" s="99">
        <f>SUM(O96*1.39)</f>
        <v>2606.25</v>
      </c>
      <c r="Q96" s="313">
        <f t="shared" si="12"/>
        <v>2733.9562499999997</v>
      </c>
    </row>
    <row r="97" spans="1:17" ht="15" thickBot="1">
      <c r="C97" s="4" t="s">
        <v>286</v>
      </c>
      <c r="G97" s="73">
        <v>2126.9249999999997</v>
      </c>
      <c r="H97" s="64">
        <f>SUM(G97*1.8)</f>
        <v>3828.4649999999997</v>
      </c>
      <c r="I97" s="313">
        <f t="shared" si="11"/>
        <v>4016.0597849999995</v>
      </c>
      <c r="J97" s="58"/>
      <c r="K97">
        <f t="shared" si="10"/>
        <v>121</v>
      </c>
      <c r="L97" t="s">
        <v>162</v>
      </c>
      <c r="O97" s="169">
        <v>2050</v>
      </c>
      <c r="P97" s="99">
        <f>SUM(O97*1.39)</f>
        <v>2849.5</v>
      </c>
      <c r="Q97" s="313">
        <f t="shared" si="12"/>
        <v>2989.1254999999996</v>
      </c>
    </row>
    <row r="98" spans="1:17" ht="15" thickBot="1">
      <c r="C98" s="4" t="s">
        <v>287</v>
      </c>
      <c r="G98" s="73">
        <v>2070</v>
      </c>
      <c r="H98" s="64">
        <f>SUM(G98*1.8)</f>
        <v>3726</v>
      </c>
      <c r="I98" s="313">
        <f t="shared" si="11"/>
        <v>3908.5739999999996</v>
      </c>
      <c r="J98" s="58"/>
      <c r="O98" s="61"/>
      <c r="P98" s="61"/>
    </row>
    <row r="99" spans="1:17" ht="15" thickBot="1">
      <c r="A99">
        <f>(A95+1)</f>
        <v>53</v>
      </c>
      <c r="C99" s="4" t="s">
        <v>147</v>
      </c>
      <c r="D99" s="34"/>
      <c r="E99" s="34"/>
      <c r="F99" s="34"/>
      <c r="G99" s="73"/>
      <c r="H99" s="64"/>
      <c r="I99" s="313"/>
      <c r="J99" s="55"/>
    </row>
    <row r="100" spans="1:17" ht="15" thickBot="1">
      <c r="C100" s="4" t="s">
        <v>285</v>
      </c>
      <c r="D100" s="34"/>
      <c r="E100" s="34"/>
      <c r="F100" s="34"/>
      <c r="G100" s="73">
        <v>7767.6749999999993</v>
      </c>
      <c r="H100" s="64">
        <f>SUM(G100*1.2)</f>
        <v>9321.2099999999991</v>
      </c>
      <c r="I100" s="313">
        <f t="shared" si="11"/>
        <v>9777.9492899999987</v>
      </c>
      <c r="J100" s="58"/>
    </row>
    <row r="101" spans="1:17" ht="15" thickBot="1">
      <c r="C101" s="4" t="s">
        <v>286</v>
      </c>
      <c r="D101" s="34"/>
      <c r="E101" s="34"/>
      <c r="F101" s="34"/>
      <c r="G101" s="73">
        <v>8828.5499999999993</v>
      </c>
      <c r="H101" s="64">
        <f>SUM(G101*1.2)</f>
        <v>10594.259999999998</v>
      </c>
      <c r="I101" s="313">
        <f t="shared" si="11"/>
        <v>11113.378739999998</v>
      </c>
      <c r="J101" s="58"/>
    </row>
    <row r="102" spans="1:17" ht="15" thickBot="1">
      <c r="C102" s="4" t="s">
        <v>287</v>
      </c>
      <c r="D102" s="34"/>
      <c r="E102" s="34"/>
      <c r="F102" s="34"/>
      <c r="G102" s="73">
        <v>8072.9999999999991</v>
      </c>
      <c r="H102" s="64">
        <f>SUM(G102*1.2)</f>
        <v>9687.5999999999985</v>
      </c>
      <c r="I102" s="313">
        <f t="shared" si="11"/>
        <v>10162.292399999998</v>
      </c>
      <c r="J102" s="58"/>
    </row>
    <row r="103" spans="1:17" ht="15" thickBot="1">
      <c r="A103">
        <f>(A99+1)</f>
        <v>54</v>
      </c>
      <c r="C103" s="4" t="s">
        <v>292</v>
      </c>
      <c r="D103" s="34"/>
      <c r="E103" s="34"/>
      <c r="F103" s="34"/>
      <c r="G103" s="73"/>
      <c r="H103" s="64"/>
      <c r="I103" s="313"/>
      <c r="J103" s="55"/>
    </row>
    <row r="104" spans="1:17" ht="15" thickBot="1">
      <c r="C104" s="4" t="s">
        <v>285</v>
      </c>
      <c r="D104" s="34"/>
      <c r="E104" s="34"/>
      <c r="F104" s="34"/>
      <c r="G104" s="73">
        <v>26211.374999999996</v>
      </c>
      <c r="H104" s="64">
        <f>SUM(G104*1.05)</f>
        <v>27521.943749999999</v>
      </c>
      <c r="I104" s="313">
        <f t="shared" si="11"/>
        <v>28870.518993749996</v>
      </c>
      <c r="J104" s="58"/>
    </row>
    <row r="105" spans="1:17" ht="15" thickBot="1">
      <c r="C105" s="4" t="s">
        <v>286</v>
      </c>
      <c r="D105" s="34"/>
      <c r="E105" s="34"/>
      <c r="F105" s="34"/>
      <c r="G105" s="73">
        <v>27267.074999999997</v>
      </c>
      <c r="H105" s="64">
        <f>SUM(G105*1.05)</f>
        <v>28630.428749999999</v>
      </c>
      <c r="I105" s="313">
        <f t="shared" si="11"/>
        <v>30033.319758749996</v>
      </c>
      <c r="J105" s="58"/>
    </row>
    <row r="106" spans="1:17" ht="15" thickBot="1">
      <c r="C106" s="4" t="s">
        <v>287</v>
      </c>
      <c r="D106" s="34"/>
      <c r="E106" s="34"/>
      <c r="F106" s="34"/>
      <c r="G106" s="73">
        <v>26594.324999999997</v>
      </c>
      <c r="H106" s="64">
        <f>SUM(G106*1.05)</f>
        <v>27924.041249999998</v>
      </c>
      <c r="I106" s="313">
        <f t="shared" si="11"/>
        <v>29292.319271249995</v>
      </c>
      <c r="J106" s="58"/>
    </row>
    <row r="107" spans="1:17" ht="15" thickBot="1">
      <c r="A107">
        <f>(A103+1)</f>
        <v>55</v>
      </c>
      <c r="C107" s="4" t="s">
        <v>153</v>
      </c>
      <c r="D107" s="34"/>
      <c r="E107" s="34"/>
      <c r="F107" s="34"/>
      <c r="G107" s="73"/>
      <c r="H107" s="100" t="s">
        <v>9</v>
      </c>
      <c r="I107" s="313"/>
      <c r="J107" s="55"/>
    </row>
    <row r="108" spans="1:17" ht="15" thickBot="1">
      <c r="C108" s="4" t="s">
        <v>285</v>
      </c>
      <c r="D108" s="34"/>
      <c r="E108" s="34"/>
      <c r="F108" s="34"/>
      <c r="G108" s="73">
        <v>-1661.175</v>
      </c>
      <c r="H108" s="100" t="s">
        <v>9</v>
      </c>
      <c r="I108" s="313"/>
      <c r="J108" s="55"/>
    </row>
    <row r="109" spans="1:17" ht="15" thickBot="1">
      <c r="C109" s="4" t="s">
        <v>286</v>
      </c>
      <c r="D109" s="34"/>
      <c r="E109" s="34"/>
      <c r="F109" s="34"/>
      <c r="G109" s="73">
        <v>-1650.8249999999998</v>
      </c>
      <c r="H109" s="100" t="s">
        <v>9</v>
      </c>
      <c r="I109" s="313"/>
      <c r="J109" s="55"/>
    </row>
    <row r="110" spans="1:17" ht="15" thickBot="1">
      <c r="C110" s="4" t="s">
        <v>287</v>
      </c>
      <c r="D110" s="34"/>
      <c r="E110" s="34"/>
      <c r="F110" s="34"/>
      <c r="G110" s="73">
        <v>-2245.9499999999998</v>
      </c>
      <c r="H110" s="100" t="s">
        <v>9</v>
      </c>
      <c r="I110" s="313"/>
      <c r="J110" s="55"/>
    </row>
    <row r="111" spans="1:17" ht="15" thickBot="1">
      <c r="A111">
        <f>(A107+1)</f>
        <v>56</v>
      </c>
      <c r="C111" s="4" t="s">
        <v>293</v>
      </c>
      <c r="G111" s="73"/>
      <c r="H111" s="100" t="s">
        <v>9</v>
      </c>
      <c r="I111" s="313"/>
      <c r="J111" s="55"/>
    </row>
    <row r="112" spans="1:17" ht="15" thickBot="1">
      <c r="C112" s="4" t="s">
        <v>285</v>
      </c>
      <c r="G112" s="73">
        <v>1516.2749999999999</v>
      </c>
      <c r="H112" s="100" t="s">
        <v>9</v>
      </c>
      <c r="I112" s="313"/>
      <c r="J112" s="55"/>
    </row>
    <row r="113" spans="1:20" ht="15" thickBot="1">
      <c r="C113" s="4" t="s">
        <v>286</v>
      </c>
      <c r="G113" s="73">
        <v>3663.8999999999996</v>
      </c>
      <c r="H113" s="100" t="s">
        <v>9</v>
      </c>
      <c r="I113" s="313"/>
      <c r="J113" s="55"/>
    </row>
    <row r="114" spans="1:20" ht="15" thickBot="1">
      <c r="C114" s="4" t="s">
        <v>287</v>
      </c>
      <c r="G114" s="73">
        <v>1640.4749999999999</v>
      </c>
      <c r="H114" s="100" t="s">
        <v>9</v>
      </c>
      <c r="I114" s="313"/>
      <c r="J114" s="55"/>
    </row>
    <row r="115" spans="1:20" ht="15" thickBot="1">
      <c r="A115">
        <f>(A111+1)</f>
        <v>57</v>
      </c>
      <c r="C115" s="4" t="s">
        <v>294</v>
      </c>
      <c r="G115" s="73"/>
      <c r="H115" s="100" t="s">
        <v>9</v>
      </c>
      <c r="I115" s="313"/>
      <c r="J115" s="55"/>
    </row>
    <row r="116" spans="1:20" ht="15" thickBot="1">
      <c r="C116" s="4" t="s">
        <v>285</v>
      </c>
      <c r="G116" s="78">
        <v>3508.6499999999996</v>
      </c>
      <c r="H116" s="100" t="s">
        <v>9</v>
      </c>
      <c r="I116" s="313"/>
      <c r="J116" s="55"/>
    </row>
    <row r="117" spans="1:20" ht="15" thickBot="1">
      <c r="C117" s="4" t="s">
        <v>286</v>
      </c>
      <c r="G117" s="78">
        <v>5175</v>
      </c>
      <c r="H117" s="100" t="s">
        <v>9</v>
      </c>
      <c r="I117" s="313"/>
      <c r="J117" s="55"/>
    </row>
    <row r="118" spans="1:20">
      <c r="C118" s="4" t="s">
        <v>287</v>
      </c>
      <c r="G118" s="102">
        <v>2980.7999999999997</v>
      </c>
      <c r="H118" s="100" t="s">
        <v>9</v>
      </c>
      <c r="I118" s="313"/>
      <c r="J118" s="55"/>
    </row>
    <row r="121" spans="1:20">
      <c r="B121" s="3" t="s">
        <v>223</v>
      </c>
    </row>
    <row r="123" spans="1:20" ht="15" thickBot="1">
      <c r="B123" s="1" t="s">
        <v>1</v>
      </c>
      <c r="E123" s="2" t="s">
        <v>224</v>
      </c>
      <c r="F123" s="2"/>
      <c r="G123" s="1" t="s">
        <v>745</v>
      </c>
      <c r="H123" s="1"/>
      <c r="J123" s="1" t="s">
        <v>233</v>
      </c>
      <c r="K123" s="1"/>
      <c r="L123" s="1"/>
      <c r="M123" s="1"/>
    </row>
    <row r="124" spans="1:20">
      <c r="G124" s="1" t="s">
        <v>749</v>
      </c>
      <c r="J124" s="1" t="s">
        <v>234</v>
      </c>
      <c r="K124" s="1"/>
      <c r="L124" s="1"/>
      <c r="M124" s="1"/>
    </row>
    <row r="125" spans="1:20" ht="15" thickBot="1">
      <c r="B125" s="1" t="s">
        <v>2</v>
      </c>
      <c r="E125" s="2" t="s">
        <v>295</v>
      </c>
      <c r="F125" s="2"/>
      <c r="G125" s="1" t="s">
        <v>747</v>
      </c>
      <c r="H125" s="1"/>
    </row>
    <row r="128" spans="1:20">
      <c r="B128" s="1"/>
      <c r="C128" s="1" t="s">
        <v>247</v>
      </c>
      <c r="F128" s="1"/>
      <c r="G128" s="1" t="s">
        <v>248</v>
      </c>
      <c r="H128" s="1"/>
      <c r="I128" s="1"/>
      <c r="K128" s="18"/>
      <c r="L128" s="18" t="s">
        <v>249</v>
      </c>
      <c r="O128" s="1" t="s">
        <v>748</v>
      </c>
      <c r="P128" s="1" t="s">
        <v>250</v>
      </c>
      <c r="Q128" s="1"/>
      <c r="S128" s="1"/>
      <c r="T128" s="1" t="s">
        <v>251</v>
      </c>
    </row>
    <row r="129" spans="1:22">
      <c r="C129" t="s">
        <v>252</v>
      </c>
      <c r="G129" t="s">
        <v>252</v>
      </c>
      <c r="K129" s="23"/>
      <c r="L129" s="23" t="s">
        <v>252</v>
      </c>
      <c r="P129" t="s">
        <v>252</v>
      </c>
      <c r="T129" t="s">
        <v>252</v>
      </c>
    </row>
    <row r="130" spans="1:22" ht="15" thickBot="1">
      <c r="F130" s="23" t="s">
        <v>253</v>
      </c>
      <c r="G130" s="17" t="s">
        <v>204</v>
      </c>
      <c r="H130" s="1"/>
      <c r="I130" s="1"/>
      <c r="K130" s="23" t="s">
        <v>254</v>
      </c>
      <c r="L130" s="84">
        <v>143018</v>
      </c>
      <c r="M130" s="48">
        <v>182196</v>
      </c>
      <c r="N130" s="313">
        <f t="shared" ref="N130:N134" si="13">M130*1.049</f>
        <v>191123.60399999999</v>
      </c>
      <c r="P130" t="s">
        <v>296</v>
      </c>
      <c r="T130" t="s">
        <v>297</v>
      </c>
    </row>
    <row r="131" spans="1:22">
      <c r="K131" s="23"/>
      <c r="L131" s="103"/>
      <c r="N131" s="313"/>
    </row>
    <row r="132" spans="1:22" ht="15" thickBot="1">
      <c r="B132" s="23" t="s">
        <v>257</v>
      </c>
      <c r="C132" s="84">
        <v>95878</v>
      </c>
      <c r="D132" s="48">
        <f>134118+6743</f>
        <v>140861</v>
      </c>
      <c r="E132" s="313">
        <f t="shared" ref="E132:E136" si="14">D132*1.049</f>
        <v>147763.18899999998</v>
      </c>
      <c r="F132" s="23" t="s">
        <v>258</v>
      </c>
      <c r="G132" s="17" t="s">
        <v>204</v>
      </c>
      <c r="H132" s="1"/>
      <c r="I132" s="1"/>
      <c r="K132" s="23" t="s">
        <v>259</v>
      </c>
      <c r="L132" s="84">
        <v>146328</v>
      </c>
      <c r="M132" s="48">
        <v>186732</v>
      </c>
      <c r="N132" s="313">
        <f t="shared" si="13"/>
        <v>195881.86799999999</v>
      </c>
      <c r="O132" s="23" t="s">
        <v>257</v>
      </c>
      <c r="P132" s="84">
        <v>118515</v>
      </c>
      <c r="Q132" s="64">
        <f>6743+162306</f>
        <v>169049</v>
      </c>
      <c r="R132" s="313">
        <f t="shared" ref="R132:R136" si="15">Q132*1.049</f>
        <v>177332.40099999998</v>
      </c>
      <c r="S132" s="23" t="s">
        <v>257</v>
      </c>
      <c r="T132" s="84">
        <v>123851</v>
      </c>
      <c r="U132" s="72">
        <f>167641+6743</f>
        <v>174384</v>
      </c>
      <c r="V132" s="313">
        <f t="shared" ref="V132:V136" si="16">U132*1.049</f>
        <v>182928.81599999999</v>
      </c>
    </row>
    <row r="133" spans="1:22">
      <c r="B133" s="23"/>
      <c r="C133" s="61"/>
      <c r="E133" s="313"/>
      <c r="F133" s="23"/>
      <c r="L133" s="61"/>
      <c r="N133" s="313"/>
      <c r="O133" s="23"/>
      <c r="P133" s="61"/>
      <c r="Q133" s="61"/>
      <c r="R133" s="313"/>
      <c r="S133" s="23"/>
      <c r="T133" s="61"/>
      <c r="U133" s="61"/>
      <c r="V133" s="313"/>
    </row>
    <row r="134" spans="1:22" ht="15" thickBot="1">
      <c r="B134" s="23" t="s">
        <v>261</v>
      </c>
      <c r="C134" s="84">
        <v>98038</v>
      </c>
      <c r="D134" s="48">
        <f>137292+6743</f>
        <v>144035</v>
      </c>
      <c r="E134" s="313">
        <f t="shared" si="14"/>
        <v>151092.715</v>
      </c>
      <c r="F134" s="23" t="s">
        <v>262</v>
      </c>
      <c r="G134" s="17" t="s">
        <v>204</v>
      </c>
      <c r="H134" s="1"/>
      <c r="I134" s="1"/>
      <c r="K134" s="23" t="s">
        <v>694</v>
      </c>
      <c r="L134" s="84">
        <v>148885</v>
      </c>
      <c r="M134" s="48">
        <v>190573</v>
      </c>
      <c r="N134" s="313">
        <f t="shared" si="13"/>
        <v>199911.07699999999</v>
      </c>
      <c r="O134" s="23" t="s">
        <v>261</v>
      </c>
      <c r="P134" s="84">
        <v>120675</v>
      </c>
      <c r="Q134" s="64">
        <f>165479+6743</f>
        <v>172222</v>
      </c>
      <c r="R134" s="313">
        <f t="shared" si="15"/>
        <v>180660.878</v>
      </c>
      <c r="S134" s="23" t="s">
        <v>261</v>
      </c>
      <c r="T134" s="84">
        <v>126011</v>
      </c>
      <c r="U134" s="72">
        <f>170815+6743</f>
        <v>177558</v>
      </c>
      <c r="V134" s="313">
        <f t="shared" si="16"/>
        <v>186258.34199999998</v>
      </c>
    </row>
    <row r="135" spans="1:22">
      <c r="B135" s="23"/>
      <c r="C135" s="61"/>
      <c r="E135" s="313"/>
      <c r="F135" s="23"/>
      <c r="L135" s="209" t="s">
        <v>264</v>
      </c>
      <c r="O135" s="23"/>
      <c r="P135" s="61"/>
      <c r="Q135" s="61"/>
      <c r="R135" s="313"/>
      <c r="S135" s="23"/>
      <c r="T135" s="61"/>
      <c r="U135" s="168"/>
      <c r="V135" s="313"/>
    </row>
    <row r="136" spans="1:22" ht="15" thickBot="1">
      <c r="B136" s="23" t="s">
        <v>265</v>
      </c>
      <c r="C136" s="84">
        <v>100902</v>
      </c>
      <c r="D136" s="48">
        <f>141502+6743</f>
        <v>148245</v>
      </c>
      <c r="E136" s="313">
        <f t="shared" si="14"/>
        <v>155509.00499999998</v>
      </c>
      <c r="F136" s="23" t="s">
        <v>254</v>
      </c>
      <c r="G136">
        <v>141079</v>
      </c>
      <c r="H136" s="50">
        <f>176978+11644</f>
        <v>188622</v>
      </c>
      <c r="I136" s="313">
        <f t="shared" ref="I136:I140" si="17">H136*1.049</f>
        <v>197864.47799999997</v>
      </c>
      <c r="K136" s="26"/>
      <c r="L136" s="209" t="s">
        <v>252</v>
      </c>
      <c r="O136" s="23" t="s">
        <v>265</v>
      </c>
      <c r="P136" s="84">
        <v>123539</v>
      </c>
      <c r="Q136" s="64">
        <f>169690+6743</f>
        <v>176433</v>
      </c>
      <c r="R136" s="313">
        <f t="shared" si="15"/>
        <v>185078.21699999998</v>
      </c>
      <c r="S136" s="23" t="s">
        <v>265</v>
      </c>
      <c r="T136" s="84">
        <v>128875</v>
      </c>
      <c r="U136" s="72">
        <f>175025+6743</f>
        <v>181768</v>
      </c>
      <c r="V136" s="313">
        <f t="shared" si="16"/>
        <v>190674.63199999998</v>
      </c>
    </row>
    <row r="137" spans="1:22" ht="15" thickBot="1">
      <c r="C137" s="55"/>
      <c r="F137" s="23"/>
      <c r="H137" s="39"/>
      <c r="I137" s="313"/>
      <c r="K137" s="27" t="s">
        <v>257</v>
      </c>
      <c r="L137" s="84" t="s">
        <v>204</v>
      </c>
      <c r="M137" s="1"/>
    </row>
    <row r="138" spans="1:22" ht="15" thickBot="1">
      <c r="C138" s="1"/>
      <c r="F138" s="23" t="s">
        <v>259</v>
      </c>
      <c r="G138">
        <v>143957</v>
      </c>
      <c r="H138" s="50">
        <f>180973+11644</f>
        <v>192617</v>
      </c>
      <c r="I138" s="313">
        <f t="shared" si="17"/>
        <v>202055.23299999998</v>
      </c>
      <c r="K138" s="27" t="s">
        <v>261</v>
      </c>
      <c r="L138" s="84" t="s">
        <v>204</v>
      </c>
      <c r="M138" s="1"/>
    </row>
    <row r="139" spans="1:22" ht="15" thickBot="1">
      <c r="C139" s="1"/>
      <c r="F139" s="23"/>
      <c r="H139" s="39"/>
      <c r="I139" s="313"/>
      <c r="K139" s="27" t="s">
        <v>254</v>
      </c>
      <c r="L139" s="84">
        <v>118713</v>
      </c>
      <c r="M139" s="48">
        <f>161620+3293</f>
        <v>164913</v>
      </c>
      <c r="N139" s="313">
        <f t="shared" ref="M139:N154" si="18">M139*1.049</f>
        <v>172993.73699999999</v>
      </c>
      <c r="O139" s="7"/>
      <c r="P139" s="7"/>
      <c r="Q139" s="7"/>
      <c r="R139" s="7"/>
    </row>
    <row r="140" spans="1:22" ht="15" thickBot="1">
      <c r="C140" s="1"/>
      <c r="F140" s="23" t="s">
        <v>267</v>
      </c>
      <c r="G140">
        <v>148623</v>
      </c>
      <c r="H140" s="50">
        <f>187092+11644</f>
        <v>198736</v>
      </c>
      <c r="I140" s="313">
        <f t="shared" si="17"/>
        <v>208474.06399999998</v>
      </c>
      <c r="K140" s="27" t="s">
        <v>259</v>
      </c>
      <c r="L140" s="84">
        <v>121697</v>
      </c>
      <c r="M140" s="48">
        <f>169517+3293</f>
        <v>172810</v>
      </c>
      <c r="N140" s="313">
        <f t="shared" si="18"/>
        <v>181277.69</v>
      </c>
    </row>
    <row r="141" spans="1:22" ht="15" thickBot="1">
      <c r="K141" s="27" t="s">
        <v>267</v>
      </c>
      <c r="L141" s="84">
        <v>124687</v>
      </c>
      <c r="M141" s="48">
        <f>177429+3293</f>
        <v>180722</v>
      </c>
      <c r="N141" s="313">
        <f t="shared" si="18"/>
        <v>189577.378</v>
      </c>
    </row>
    <row r="142" spans="1:22">
      <c r="B142" s="1" t="s">
        <v>239</v>
      </c>
    </row>
    <row r="143" spans="1:22">
      <c r="O143" s="35"/>
      <c r="U143" s="35"/>
    </row>
    <row r="144" spans="1:22" ht="15" thickBot="1">
      <c r="A144">
        <v>1</v>
      </c>
      <c r="B144" s="4" t="s">
        <v>23</v>
      </c>
      <c r="F144" s="84">
        <v>1365</v>
      </c>
      <c r="G144" s="104">
        <v>2070</v>
      </c>
      <c r="H144" s="313">
        <f t="shared" ref="H144:H197" si="19">G144*1.049</f>
        <v>2171.4299999999998</v>
      </c>
      <c r="I144">
        <f>(A200+1)</f>
        <v>58</v>
      </c>
      <c r="J144" s="4" t="s">
        <v>24</v>
      </c>
      <c r="K144" s="84">
        <v>11140</v>
      </c>
      <c r="L144" s="104">
        <v>11700</v>
      </c>
      <c r="M144" s="313">
        <f t="shared" si="18"/>
        <v>12273.3</v>
      </c>
    </row>
    <row r="145" spans="1:21" ht="15" thickBot="1">
      <c r="A145">
        <f>(A144+1)</f>
        <v>2</v>
      </c>
      <c r="B145" s="4" t="s">
        <v>26</v>
      </c>
      <c r="F145" s="84">
        <v>1045</v>
      </c>
      <c r="G145" s="104">
        <v>1670</v>
      </c>
      <c r="H145" s="313">
        <f t="shared" si="19"/>
        <v>1751.83</v>
      </c>
      <c r="I145">
        <f>(I144+1)</f>
        <v>59</v>
      </c>
      <c r="J145" s="4" t="s">
        <v>298</v>
      </c>
      <c r="K145" s="84">
        <v>1270</v>
      </c>
      <c r="L145" s="95">
        <v>1195</v>
      </c>
      <c r="M145" s="313">
        <f t="shared" si="18"/>
        <v>1253.5549999999998</v>
      </c>
    </row>
    <row r="146" spans="1:21" ht="15" thickBot="1">
      <c r="A146">
        <f t="shared" ref="A146:A200" si="20">(A145+1)</f>
        <v>3</v>
      </c>
      <c r="B146" s="4" t="s">
        <v>29</v>
      </c>
      <c r="F146" s="84">
        <v>690</v>
      </c>
      <c r="G146" s="104">
        <v>995</v>
      </c>
      <c r="H146" s="313">
        <f t="shared" si="19"/>
        <v>1043.7549999999999</v>
      </c>
      <c r="I146">
        <f t="shared" ref="I146:I207" si="21">(I145+1)</f>
        <v>60</v>
      </c>
      <c r="J146" s="4" t="s">
        <v>35</v>
      </c>
      <c r="K146" s="84">
        <v>3356</v>
      </c>
      <c r="L146" s="104">
        <v>3925</v>
      </c>
      <c r="M146" s="313">
        <f t="shared" si="18"/>
        <v>4117.3249999999998</v>
      </c>
    </row>
    <row r="147" spans="1:21" ht="15" thickBot="1">
      <c r="A147">
        <f t="shared" si="20"/>
        <v>4</v>
      </c>
      <c r="B147" s="4" t="s">
        <v>34</v>
      </c>
      <c r="F147" s="84">
        <v>735</v>
      </c>
      <c r="G147" s="104">
        <v>800</v>
      </c>
      <c r="H147" s="313">
        <f t="shared" si="19"/>
        <v>839.19999999999993</v>
      </c>
      <c r="I147">
        <f t="shared" si="21"/>
        <v>61</v>
      </c>
      <c r="J147" s="105" t="s">
        <v>38</v>
      </c>
      <c r="K147" s="84">
        <v>10000</v>
      </c>
      <c r="L147" s="106">
        <v>12900</v>
      </c>
      <c r="M147" s="313">
        <f t="shared" si="18"/>
        <v>13532.099999999999</v>
      </c>
    </row>
    <row r="148" spans="1:21" ht="15" thickBot="1">
      <c r="A148">
        <f t="shared" si="20"/>
        <v>5</v>
      </c>
      <c r="B148" s="4" t="s">
        <v>37</v>
      </c>
      <c r="F148" s="84">
        <v>1170</v>
      </c>
      <c r="G148" s="104">
        <v>1290</v>
      </c>
      <c r="H148" s="313">
        <f t="shared" si="19"/>
        <v>1353.2099999999998</v>
      </c>
      <c r="I148">
        <f t="shared" si="21"/>
        <v>62</v>
      </c>
      <c r="J148" t="s">
        <v>279</v>
      </c>
      <c r="K148" s="84" t="s">
        <v>209</v>
      </c>
      <c r="L148" s="95" t="s">
        <v>209</v>
      </c>
      <c r="M148" s="313"/>
    </row>
    <row r="149" spans="1:21" ht="15" thickBot="1">
      <c r="A149">
        <f t="shared" si="20"/>
        <v>6</v>
      </c>
      <c r="B149" s="4" t="s">
        <v>39</v>
      </c>
      <c r="F149" s="84">
        <v>1830</v>
      </c>
      <c r="G149" s="104">
        <v>1930</v>
      </c>
      <c r="H149" s="313">
        <f t="shared" si="19"/>
        <v>2024.57</v>
      </c>
      <c r="I149">
        <f t="shared" si="21"/>
        <v>63</v>
      </c>
      <c r="J149" s="4" t="s">
        <v>40</v>
      </c>
      <c r="K149" s="84" t="s">
        <v>209</v>
      </c>
      <c r="L149" s="95">
        <v>13200</v>
      </c>
      <c r="M149" s="313">
        <f t="shared" si="18"/>
        <v>13846.8</v>
      </c>
      <c r="N149" t="s">
        <v>268</v>
      </c>
    </row>
    <row r="150" spans="1:21" ht="15" thickBot="1">
      <c r="A150">
        <f t="shared" si="20"/>
        <v>7</v>
      </c>
      <c r="B150" s="4" t="s">
        <v>41</v>
      </c>
      <c r="F150" s="84">
        <v>1330</v>
      </c>
      <c r="G150" s="104">
        <v>1660</v>
      </c>
      <c r="H150" s="313">
        <f t="shared" si="19"/>
        <v>1741.34</v>
      </c>
      <c r="I150">
        <f t="shared" si="21"/>
        <v>64</v>
      </c>
      <c r="J150" s="4" t="s">
        <v>42</v>
      </c>
      <c r="K150" s="84">
        <v>1065</v>
      </c>
      <c r="L150" s="104">
        <v>1210</v>
      </c>
      <c r="M150" s="313">
        <f t="shared" si="18"/>
        <v>1269.29</v>
      </c>
    </row>
    <row r="151" spans="1:21" ht="15" thickBot="1">
      <c r="A151">
        <f t="shared" si="20"/>
        <v>8</v>
      </c>
      <c r="B151" s="4" t="s">
        <v>43</v>
      </c>
      <c r="F151" s="84">
        <v>1545</v>
      </c>
      <c r="G151" s="104">
        <v>1990</v>
      </c>
      <c r="H151" s="313">
        <f t="shared" si="19"/>
        <v>2087.5099999999998</v>
      </c>
      <c r="I151">
        <f t="shared" si="21"/>
        <v>65</v>
      </c>
      <c r="J151" s="4" t="s">
        <v>44</v>
      </c>
      <c r="K151" s="84">
        <v>1110</v>
      </c>
      <c r="L151" s="104">
        <v>655</v>
      </c>
      <c r="M151" s="313">
        <f t="shared" si="18"/>
        <v>687.09499999999991</v>
      </c>
    </row>
    <row r="152" spans="1:21" ht="15" thickBot="1">
      <c r="A152">
        <f t="shared" si="20"/>
        <v>9</v>
      </c>
      <c r="B152" s="4" t="s">
        <v>45</v>
      </c>
      <c r="F152" s="84">
        <v>-120</v>
      </c>
      <c r="G152" s="104">
        <v>-120</v>
      </c>
      <c r="H152" s="313">
        <f t="shared" si="19"/>
        <v>-125.88</v>
      </c>
      <c r="I152">
        <f t="shared" si="21"/>
        <v>66</v>
      </c>
      <c r="J152" s="4" t="s">
        <v>46</v>
      </c>
      <c r="K152" s="84">
        <v>260</v>
      </c>
      <c r="L152" s="104">
        <v>300</v>
      </c>
      <c r="M152" s="313">
        <f t="shared" si="18"/>
        <v>314.7</v>
      </c>
    </row>
    <row r="153" spans="1:21" ht="15" thickBot="1">
      <c r="A153">
        <f t="shared" si="20"/>
        <v>10</v>
      </c>
      <c r="B153" s="4" t="s">
        <v>278</v>
      </c>
      <c r="F153" s="84" t="s">
        <v>208</v>
      </c>
      <c r="G153" s="95" t="s">
        <v>208</v>
      </c>
      <c r="H153" s="313"/>
      <c r="I153">
        <f t="shared" si="21"/>
        <v>67</v>
      </c>
      <c r="J153" s="4" t="s">
        <v>48</v>
      </c>
      <c r="K153" s="84">
        <v>870</v>
      </c>
      <c r="L153" s="104">
        <v>1100</v>
      </c>
      <c r="M153" s="313">
        <f t="shared" si="18"/>
        <v>1153.8999999999999</v>
      </c>
    </row>
    <row r="154" spans="1:21" ht="15" thickBot="1">
      <c r="A154">
        <f t="shared" si="20"/>
        <v>11</v>
      </c>
      <c r="B154" s="4" t="s">
        <v>60</v>
      </c>
      <c r="F154" s="84">
        <v>60</v>
      </c>
      <c r="G154" s="104">
        <v>75</v>
      </c>
      <c r="H154" s="313">
        <f t="shared" si="19"/>
        <v>78.674999999999997</v>
      </c>
      <c r="I154">
        <f t="shared" si="21"/>
        <v>68</v>
      </c>
      <c r="J154" s="4" t="s">
        <v>50</v>
      </c>
      <c r="K154" s="84">
        <v>160</v>
      </c>
      <c r="L154" s="104">
        <v>150</v>
      </c>
      <c r="M154" s="313">
        <f t="shared" si="18"/>
        <v>157.35</v>
      </c>
    </row>
    <row r="155" spans="1:21" ht="15" thickBot="1">
      <c r="A155">
        <f t="shared" si="20"/>
        <v>12</v>
      </c>
      <c r="B155" t="s">
        <v>62</v>
      </c>
      <c r="F155" s="84">
        <v>60</v>
      </c>
      <c r="G155" s="104">
        <v>75</v>
      </c>
      <c r="H155" s="313">
        <f t="shared" si="19"/>
        <v>78.674999999999997</v>
      </c>
      <c r="I155">
        <f t="shared" si="21"/>
        <v>69</v>
      </c>
      <c r="J155" s="4" t="s">
        <v>52</v>
      </c>
      <c r="K155" s="84">
        <v>660</v>
      </c>
      <c r="L155" s="104">
        <v>740</v>
      </c>
      <c r="M155" s="313">
        <f t="shared" ref="M155:M218" si="22">L155*1.049</f>
        <v>776.26</v>
      </c>
    </row>
    <row r="156" spans="1:21" ht="15" thickBot="1">
      <c r="A156">
        <f t="shared" si="20"/>
        <v>13</v>
      </c>
      <c r="B156" t="s">
        <v>64</v>
      </c>
      <c r="F156" s="84">
        <v>90</v>
      </c>
      <c r="G156" s="104">
        <v>135</v>
      </c>
      <c r="H156" s="313">
        <f t="shared" si="19"/>
        <v>141.61499999999998</v>
      </c>
      <c r="I156">
        <f t="shared" si="21"/>
        <v>70</v>
      </c>
      <c r="J156" s="4" t="s">
        <v>54</v>
      </c>
      <c r="K156" s="84" t="s">
        <v>192</v>
      </c>
      <c r="L156" s="95" t="s">
        <v>208</v>
      </c>
      <c r="M156" s="313"/>
      <c r="T156" s="31"/>
      <c r="U156" s="31"/>
    </row>
    <row r="157" spans="1:21" ht="15" thickBot="1">
      <c r="A157">
        <f t="shared" si="20"/>
        <v>14</v>
      </c>
      <c r="B157" s="31" t="s">
        <v>66</v>
      </c>
      <c r="F157" s="84">
        <v>70</v>
      </c>
      <c r="G157" s="104">
        <v>95</v>
      </c>
      <c r="H157" s="313">
        <f t="shared" si="19"/>
        <v>99.654999999999987</v>
      </c>
      <c r="I157">
        <f t="shared" si="21"/>
        <v>71</v>
      </c>
      <c r="J157" s="4" t="s">
        <v>59</v>
      </c>
      <c r="K157" s="84">
        <v>1110</v>
      </c>
      <c r="L157" s="104">
        <v>1165</v>
      </c>
      <c r="M157" s="313">
        <f t="shared" si="22"/>
        <v>1222.0849999999998</v>
      </c>
      <c r="U157" s="31"/>
    </row>
    <row r="158" spans="1:21" ht="15" thickBot="1">
      <c r="A158">
        <f t="shared" si="20"/>
        <v>15</v>
      </c>
      <c r="B158" s="32" t="s">
        <v>68</v>
      </c>
      <c r="F158" s="84">
        <v>75</v>
      </c>
      <c r="G158" s="104">
        <v>125</v>
      </c>
      <c r="H158" s="313">
        <f t="shared" si="19"/>
        <v>131.125</v>
      </c>
      <c r="I158">
        <f t="shared" si="21"/>
        <v>72</v>
      </c>
      <c r="J158" s="4" t="s">
        <v>61</v>
      </c>
      <c r="K158" s="84">
        <v>2520</v>
      </c>
      <c r="L158" s="104">
        <v>2650</v>
      </c>
      <c r="M158" s="313">
        <f t="shared" si="22"/>
        <v>2779.85</v>
      </c>
      <c r="T158" s="31"/>
      <c r="U158" s="31"/>
    </row>
    <row r="159" spans="1:21" ht="15" thickBot="1">
      <c r="A159">
        <f t="shared" si="20"/>
        <v>16</v>
      </c>
      <c r="B159" s="32" t="s">
        <v>70</v>
      </c>
      <c r="F159" s="84">
        <v>80</v>
      </c>
      <c r="G159" s="104">
        <v>150</v>
      </c>
      <c r="H159" s="313">
        <f t="shared" si="19"/>
        <v>157.35</v>
      </c>
      <c r="I159">
        <f t="shared" si="21"/>
        <v>73</v>
      </c>
      <c r="J159" s="4" t="s">
        <v>63</v>
      </c>
      <c r="K159" s="84">
        <v>3130</v>
      </c>
      <c r="L159" s="104">
        <v>3290</v>
      </c>
      <c r="M159" s="313">
        <f t="shared" si="22"/>
        <v>3451.2099999999996</v>
      </c>
      <c r="T159" s="31"/>
      <c r="U159" s="31"/>
    </row>
    <row r="160" spans="1:21" ht="15" thickBot="1">
      <c r="A160">
        <f t="shared" si="20"/>
        <v>17</v>
      </c>
      <c r="B160" s="32" t="s">
        <v>72</v>
      </c>
      <c r="F160" s="84">
        <v>50</v>
      </c>
      <c r="G160" s="104">
        <v>50</v>
      </c>
      <c r="H160" s="313">
        <f t="shared" si="19"/>
        <v>52.449999999999996</v>
      </c>
      <c r="I160">
        <f t="shared" si="21"/>
        <v>74</v>
      </c>
      <c r="J160" s="4" t="s">
        <v>67</v>
      </c>
      <c r="K160" s="84">
        <v>120</v>
      </c>
      <c r="L160" s="104">
        <v>130</v>
      </c>
      <c r="M160" s="313">
        <f t="shared" si="22"/>
        <v>136.37</v>
      </c>
      <c r="T160" s="31"/>
      <c r="U160" s="31"/>
    </row>
    <row r="161" spans="1:21" ht="15" thickBot="1">
      <c r="A161">
        <f t="shared" si="20"/>
        <v>18</v>
      </c>
      <c r="B161" s="32" t="s">
        <v>74</v>
      </c>
      <c r="F161" s="84">
        <v>100</v>
      </c>
      <c r="G161" s="104">
        <v>120</v>
      </c>
      <c r="H161" s="313">
        <f t="shared" si="19"/>
        <v>125.88</v>
      </c>
      <c r="I161">
        <f t="shared" si="21"/>
        <v>75</v>
      </c>
      <c r="J161" s="4" t="s">
        <v>71</v>
      </c>
      <c r="K161" s="84">
        <v>285</v>
      </c>
      <c r="L161" s="104">
        <v>310</v>
      </c>
      <c r="M161" s="313">
        <f t="shared" si="22"/>
        <v>325.19</v>
      </c>
      <c r="N161" t="s">
        <v>700</v>
      </c>
      <c r="T161" s="33"/>
      <c r="U161" s="31"/>
    </row>
    <row r="162" spans="1:21" ht="15" thickBot="1">
      <c r="A162">
        <f t="shared" si="20"/>
        <v>19</v>
      </c>
      <c r="B162" s="31" t="s">
        <v>76</v>
      </c>
      <c r="C162" s="31"/>
      <c r="D162" s="31"/>
      <c r="E162" s="31"/>
      <c r="F162" s="84">
        <v>1600</v>
      </c>
      <c r="G162" s="95" t="s">
        <v>209</v>
      </c>
      <c r="H162" s="313"/>
      <c r="I162">
        <f t="shared" si="21"/>
        <v>76</v>
      </c>
      <c r="J162" s="4" t="s">
        <v>75</v>
      </c>
      <c r="K162" s="84">
        <v>145</v>
      </c>
      <c r="L162" s="104">
        <v>155</v>
      </c>
      <c r="M162" s="313">
        <f t="shared" si="22"/>
        <v>162.595</v>
      </c>
      <c r="T162" s="33"/>
      <c r="U162" s="31"/>
    </row>
    <row r="163" spans="1:21" ht="15" thickBot="1">
      <c r="A163">
        <f t="shared" si="20"/>
        <v>20</v>
      </c>
      <c r="B163" s="33" t="s">
        <v>281</v>
      </c>
      <c r="C163" s="32"/>
      <c r="D163" s="31"/>
      <c r="E163" s="31"/>
      <c r="F163" s="84">
        <v>505</v>
      </c>
      <c r="G163" s="104">
        <v>530</v>
      </c>
      <c r="H163" s="313">
        <f t="shared" si="19"/>
        <v>555.96999999999991</v>
      </c>
      <c r="I163">
        <f t="shared" si="21"/>
        <v>77</v>
      </c>
      <c r="J163" s="4" t="s">
        <v>78</v>
      </c>
      <c r="K163" s="84">
        <v>460</v>
      </c>
      <c r="L163" s="104">
        <v>485</v>
      </c>
      <c r="M163" s="313">
        <f t="shared" si="22"/>
        <v>508.76499999999999</v>
      </c>
      <c r="T163" s="33"/>
      <c r="U163" s="31"/>
    </row>
    <row r="164" spans="1:21" ht="15" thickBot="1">
      <c r="A164">
        <f t="shared" si="20"/>
        <v>21</v>
      </c>
      <c r="B164" s="4" t="s">
        <v>81</v>
      </c>
      <c r="C164" s="32"/>
      <c r="D164" s="31"/>
      <c r="E164" s="31"/>
      <c r="F164" s="84" t="s">
        <v>208</v>
      </c>
      <c r="G164" s="104">
        <v>530</v>
      </c>
      <c r="H164" s="313">
        <f t="shared" si="19"/>
        <v>555.96999999999991</v>
      </c>
      <c r="I164">
        <f t="shared" si="21"/>
        <v>78</v>
      </c>
      <c r="J164" s="4" t="s">
        <v>80</v>
      </c>
      <c r="K164" s="84">
        <v>60</v>
      </c>
      <c r="L164" s="104">
        <v>60</v>
      </c>
      <c r="M164" s="313">
        <f t="shared" si="22"/>
        <v>62.94</v>
      </c>
      <c r="T164" s="33"/>
      <c r="U164" s="31"/>
    </row>
    <row r="165" spans="1:21" ht="15" thickBot="1">
      <c r="A165">
        <f t="shared" si="20"/>
        <v>22</v>
      </c>
      <c r="B165" s="4" t="s">
        <v>705</v>
      </c>
      <c r="C165" s="32"/>
      <c r="D165" s="31"/>
      <c r="E165" s="31"/>
      <c r="F165" s="84">
        <v>150</v>
      </c>
      <c r="G165" s="104">
        <v>250</v>
      </c>
      <c r="H165" s="313">
        <f t="shared" si="19"/>
        <v>262.25</v>
      </c>
      <c r="I165">
        <f t="shared" si="21"/>
        <v>79</v>
      </c>
      <c r="J165" s="4" t="s">
        <v>82</v>
      </c>
      <c r="K165" s="84">
        <v>150</v>
      </c>
      <c r="L165" s="104">
        <v>160</v>
      </c>
      <c r="M165" s="313">
        <f t="shared" si="22"/>
        <v>167.83999999999997</v>
      </c>
      <c r="T165" s="36"/>
      <c r="U165" s="31"/>
    </row>
    <row r="166" spans="1:21" ht="15" thickBot="1">
      <c r="A166">
        <f t="shared" si="20"/>
        <v>23</v>
      </c>
      <c r="B166" s="4" t="s">
        <v>85</v>
      </c>
      <c r="C166" s="32"/>
      <c r="D166" s="31"/>
      <c r="E166" s="31"/>
      <c r="F166" s="84">
        <v>505</v>
      </c>
      <c r="G166" s="104">
        <v>705</v>
      </c>
      <c r="H166" s="313">
        <f t="shared" si="19"/>
        <v>739.54499999999996</v>
      </c>
      <c r="I166">
        <f t="shared" si="21"/>
        <v>80</v>
      </c>
      <c r="J166" s="4" t="s">
        <v>84</v>
      </c>
      <c r="K166" s="84">
        <v>75</v>
      </c>
      <c r="L166" s="104">
        <v>100</v>
      </c>
      <c r="M166" s="313">
        <f t="shared" si="22"/>
        <v>104.89999999999999</v>
      </c>
      <c r="T166" s="36"/>
      <c r="U166" s="31"/>
    </row>
    <row r="167" spans="1:21" ht="15" thickBot="1">
      <c r="A167">
        <f t="shared" si="20"/>
        <v>24</v>
      </c>
      <c r="B167" s="4" t="s">
        <v>87</v>
      </c>
      <c r="C167" s="31"/>
      <c r="D167" s="31"/>
      <c r="E167" s="31"/>
      <c r="F167" s="84">
        <v>530</v>
      </c>
      <c r="G167" s="104">
        <v>745</v>
      </c>
      <c r="H167" s="313">
        <f t="shared" si="19"/>
        <v>781.505</v>
      </c>
      <c r="I167">
        <f t="shared" si="21"/>
        <v>81</v>
      </c>
      <c r="J167" s="4" t="s">
        <v>86</v>
      </c>
      <c r="K167" s="84">
        <v>800</v>
      </c>
      <c r="L167" s="104">
        <v>1055</v>
      </c>
      <c r="M167" s="313">
        <f t="shared" si="22"/>
        <v>1106.6949999999999</v>
      </c>
      <c r="T167" s="33"/>
      <c r="U167" s="31"/>
    </row>
    <row r="168" spans="1:21" ht="15" thickBot="1">
      <c r="A168">
        <f t="shared" si="20"/>
        <v>25</v>
      </c>
      <c r="B168" s="4" t="s">
        <v>89</v>
      </c>
      <c r="C168" s="31"/>
      <c r="D168" s="31"/>
      <c r="E168" s="31"/>
      <c r="F168" s="84">
        <v>775</v>
      </c>
      <c r="G168" s="104">
        <v>1080</v>
      </c>
      <c r="H168" s="313">
        <f t="shared" si="19"/>
        <v>1132.9199999999998</v>
      </c>
      <c r="I168">
        <f t="shared" si="21"/>
        <v>82</v>
      </c>
      <c r="J168" s="4" t="s">
        <v>88</v>
      </c>
      <c r="K168" s="84">
        <v>625</v>
      </c>
      <c r="L168" s="104">
        <v>800</v>
      </c>
      <c r="M168" s="313">
        <f t="shared" si="22"/>
        <v>839.19999999999993</v>
      </c>
      <c r="T168" s="33"/>
      <c r="U168" s="31"/>
    </row>
    <row r="169" spans="1:21" ht="15" thickBot="1">
      <c r="A169">
        <f t="shared" si="20"/>
        <v>26</v>
      </c>
      <c r="B169" t="s">
        <v>91</v>
      </c>
      <c r="F169" s="84">
        <v>-100</v>
      </c>
      <c r="G169" s="104">
        <v>-100</v>
      </c>
      <c r="H169" s="313">
        <f t="shared" si="19"/>
        <v>-104.89999999999999</v>
      </c>
      <c r="I169">
        <f t="shared" si="21"/>
        <v>83</v>
      </c>
      <c r="J169" t="s">
        <v>90</v>
      </c>
      <c r="K169" s="84">
        <v>350</v>
      </c>
      <c r="L169" s="95" t="s">
        <v>209</v>
      </c>
      <c r="M169" s="313"/>
      <c r="N169" t="s">
        <v>217</v>
      </c>
      <c r="T169" s="33"/>
      <c r="U169" s="31"/>
    </row>
    <row r="170" spans="1:21" ht="15" thickBot="1">
      <c r="A170">
        <f t="shared" si="20"/>
        <v>27</v>
      </c>
      <c r="B170" t="s">
        <v>93</v>
      </c>
      <c r="F170" s="84">
        <v>-100</v>
      </c>
      <c r="G170" s="104">
        <v>-100</v>
      </c>
      <c r="H170" s="313">
        <f t="shared" si="19"/>
        <v>-104.89999999999999</v>
      </c>
      <c r="I170">
        <f t="shared" si="21"/>
        <v>84</v>
      </c>
      <c r="J170" s="4" t="s">
        <v>92</v>
      </c>
      <c r="K170" s="84" t="s">
        <v>32</v>
      </c>
      <c r="L170" s="95" t="s">
        <v>32</v>
      </c>
      <c r="M170" s="313"/>
    </row>
    <row r="171" spans="1:21" ht="15" thickBot="1">
      <c r="A171">
        <f t="shared" si="20"/>
        <v>28</v>
      </c>
      <c r="B171" t="s">
        <v>95</v>
      </c>
      <c r="F171" s="84">
        <v>1600</v>
      </c>
      <c r="G171" s="104">
        <v>1920</v>
      </c>
      <c r="H171" s="313">
        <f t="shared" si="19"/>
        <v>2014.08</v>
      </c>
      <c r="I171">
        <f t="shared" si="21"/>
        <v>85</v>
      </c>
      <c r="J171" t="s">
        <v>94</v>
      </c>
      <c r="K171" s="84">
        <v>165</v>
      </c>
      <c r="L171" s="104">
        <v>182</v>
      </c>
      <c r="M171" s="313">
        <f t="shared" si="22"/>
        <v>190.91799999999998</v>
      </c>
    </row>
    <row r="172" spans="1:21" ht="15" thickBot="1">
      <c r="A172">
        <f t="shared" si="20"/>
        <v>29</v>
      </c>
      <c r="B172" t="s">
        <v>97</v>
      </c>
      <c r="F172" s="84">
        <v>2880</v>
      </c>
      <c r="G172" s="104">
        <v>3600</v>
      </c>
      <c r="H172" s="313">
        <f t="shared" si="19"/>
        <v>3776.3999999999996</v>
      </c>
      <c r="I172">
        <f t="shared" si="21"/>
        <v>86</v>
      </c>
      <c r="J172" t="s">
        <v>96</v>
      </c>
      <c r="K172" s="84">
        <v>5830</v>
      </c>
      <c r="L172" s="107">
        <v>6500</v>
      </c>
      <c r="M172" s="313">
        <f t="shared" si="22"/>
        <v>6818.5</v>
      </c>
    </row>
    <row r="173" spans="1:21" ht="15" thickBot="1">
      <c r="A173">
        <f t="shared" si="20"/>
        <v>30</v>
      </c>
      <c r="B173" t="s">
        <v>99</v>
      </c>
      <c r="F173" s="84" t="s">
        <v>209</v>
      </c>
      <c r="G173" s="95" t="s">
        <v>209</v>
      </c>
      <c r="H173" s="313"/>
      <c r="I173">
        <f t="shared" si="21"/>
        <v>87</v>
      </c>
      <c r="J173" t="s">
        <v>302</v>
      </c>
      <c r="K173" s="84"/>
      <c r="L173" s="104"/>
      <c r="M173" s="313">
        <f t="shared" si="22"/>
        <v>0</v>
      </c>
    </row>
    <row r="174" spans="1:21" ht="15" thickBot="1">
      <c r="A174">
        <f t="shared" si="20"/>
        <v>31</v>
      </c>
      <c r="B174" t="s">
        <v>101</v>
      </c>
      <c r="F174" s="84" t="s">
        <v>209</v>
      </c>
      <c r="G174" s="95" t="s">
        <v>209</v>
      </c>
      <c r="H174" s="313"/>
      <c r="I174">
        <f>(I173+1)</f>
        <v>88</v>
      </c>
      <c r="J174" s="4" t="s">
        <v>100</v>
      </c>
      <c r="K174" s="84">
        <v>3005</v>
      </c>
      <c r="L174" s="104">
        <v>3155</v>
      </c>
      <c r="M174" s="313">
        <f t="shared" si="22"/>
        <v>3309.5949999999998</v>
      </c>
    </row>
    <row r="175" spans="1:21" ht="15" thickBot="1">
      <c r="A175">
        <f t="shared" si="20"/>
        <v>32</v>
      </c>
      <c r="B175" t="s">
        <v>103</v>
      </c>
      <c r="F175" s="84">
        <v>30</v>
      </c>
      <c r="G175" s="104">
        <v>30</v>
      </c>
      <c r="H175" s="313">
        <f t="shared" si="19"/>
        <v>31.47</v>
      </c>
      <c r="I175">
        <f t="shared" si="21"/>
        <v>89</v>
      </c>
      <c r="J175" s="4" t="s">
        <v>102</v>
      </c>
      <c r="K175" s="84">
        <v>6900</v>
      </c>
      <c r="L175" s="104">
        <v>7155</v>
      </c>
      <c r="M175" s="313">
        <f t="shared" si="22"/>
        <v>7505.5949999999993</v>
      </c>
    </row>
    <row r="176" spans="1:21" ht="15" thickBot="1">
      <c r="A176">
        <f t="shared" si="20"/>
        <v>33</v>
      </c>
      <c r="B176" t="s">
        <v>105</v>
      </c>
      <c r="F176" s="84">
        <v>30</v>
      </c>
      <c r="G176" s="104">
        <v>30</v>
      </c>
      <c r="H176" s="313">
        <f t="shared" si="19"/>
        <v>31.47</v>
      </c>
      <c r="I176">
        <f t="shared" si="21"/>
        <v>90</v>
      </c>
      <c r="J176" s="4" t="s">
        <v>104</v>
      </c>
      <c r="K176" s="84">
        <v>7700</v>
      </c>
      <c r="L176" s="104">
        <v>8800</v>
      </c>
      <c r="M176" s="313">
        <f t="shared" si="22"/>
        <v>9231.1999999999989</v>
      </c>
    </row>
    <row r="177" spans="1:20" ht="15" thickBot="1">
      <c r="A177">
        <f t="shared" si="20"/>
        <v>34</v>
      </c>
      <c r="B177" t="s">
        <v>107</v>
      </c>
      <c r="F177" s="84">
        <v>-10</v>
      </c>
      <c r="G177" s="104">
        <v>-10</v>
      </c>
      <c r="H177" s="313">
        <f t="shared" si="19"/>
        <v>-10.489999999999998</v>
      </c>
      <c r="I177">
        <f t="shared" si="21"/>
        <v>91</v>
      </c>
      <c r="J177" t="s">
        <v>106</v>
      </c>
      <c r="K177" s="84">
        <v>8080</v>
      </c>
      <c r="L177" s="108">
        <v>10100</v>
      </c>
      <c r="M177" s="313">
        <f t="shared" si="22"/>
        <v>10594.9</v>
      </c>
    </row>
    <row r="178" spans="1:20" ht="15" thickBot="1">
      <c r="A178">
        <f t="shared" si="20"/>
        <v>35</v>
      </c>
      <c r="B178" t="s">
        <v>109</v>
      </c>
      <c r="F178" s="84">
        <v>800</v>
      </c>
      <c r="G178" s="104">
        <v>800</v>
      </c>
      <c r="H178" s="313">
        <f t="shared" si="19"/>
        <v>839.19999999999993</v>
      </c>
      <c r="I178">
        <f t="shared" si="21"/>
        <v>92</v>
      </c>
      <c r="J178" s="4" t="s">
        <v>108</v>
      </c>
      <c r="K178" s="84" t="s">
        <v>57</v>
      </c>
      <c r="L178" s="96" t="s">
        <v>208</v>
      </c>
      <c r="M178" s="313"/>
    </row>
    <row r="179" spans="1:20" ht="15" thickBot="1">
      <c r="A179">
        <f t="shared" si="20"/>
        <v>36</v>
      </c>
      <c r="B179" t="s">
        <v>111</v>
      </c>
      <c r="F179" s="84">
        <v>1100</v>
      </c>
      <c r="G179" s="95" t="s">
        <v>209</v>
      </c>
      <c r="H179" s="313"/>
      <c r="I179">
        <f t="shared" si="21"/>
        <v>93</v>
      </c>
      <c r="J179" s="4" t="s">
        <v>110</v>
      </c>
      <c r="K179" s="84">
        <v>1025</v>
      </c>
      <c r="L179" s="108">
        <v>875</v>
      </c>
      <c r="M179" s="313">
        <f t="shared" si="22"/>
        <v>917.87499999999989</v>
      </c>
    </row>
    <row r="180" spans="1:20" ht="15" thickBot="1">
      <c r="A180">
        <f t="shared" si="20"/>
        <v>37</v>
      </c>
      <c r="B180" s="4" t="s">
        <v>113</v>
      </c>
      <c r="F180" s="84">
        <v>350</v>
      </c>
      <c r="G180" s="106">
        <v>300</v>
      </c>
      <c r="H180" s="313">
        <f t="shared" si="19"/>
        <v>314.7</v>
      </c>
      <c r="I180">
        <f t="shared" si="21"/>
        <v>94</v>
      </c>
      <c r="J180" s="4" t="s">
        <v>112</v>
      </c>
      <c r="K180" s="84" t="s">
        <v>209</v>
      </c>
      <c r="L180" s="96" t="s">
        <v>209</v>
      </c>
      <c r="M180" s="313"/>
    </row>
    <row r="181" spans="1:20" ht="15" thickBot="1">
      <c r="A181">
        <f t="shared" si="20"/>
        <v>38</v>
      </c>
      <c r="B181" s="4" t="s">
        <v>115</v>
      </c>
      <c r="F181" s="84" t="s">
        <v>209</v>
      </c>
      <c r="G181" s="95" t="s">
        <v>209</v>
      </c>
      <c r="H181" s="313"/>
      <c r="I181">
        <f t="shared" si="21"/>
        <v>95</v>
      </c>
      <c r="J181" t="s">
        <v>114</v>
      </c>
      <c r="K181" s="84">
        <v>4520</v>
      </c>
      <c r="L181" s="104">
        <v>5275</v>
      </c>
      <c r="M181" s="313">
        <f t="shared" si="22"/>
        <v>5533.4749999999995</v>
      </c>
    </row>
    <row r="182" spans="1:20" ht="15" thickBot="1">
      <c r="A182">
        <f t="shared" si="20"/>
        <v>39</v>
      </c>
      <c r="B182" s="4" t="s">
        <v>303</v>
      </c>
      <c r="F182" s="84">
        <v>0</v>
      </c>
      <c r="G182" s="104">
        <v>0</v>
      </c>
      <c r="H182" s="313"/>
      <c r="I182">
        <f t="shared" si="21"/>
        <v>96</v>
      </c>
      <c r="J182" t="s">
        <v>116</v>
      </c>
      <c r="K182" s="84">
        <v>6875</v>
      </c>
      <c r="L182" s="104">
        <v>7370</v>
      </c>
      <c r="M182" s="313">
        <f t="shared" si="22"/>
        <v>7731.1299999999992</v>
      </c>
    </row>
    <row r="183" spans="1:20" ht="15" thickBot="1">
      <c r="A183">
        <f t="shared" si="20"/>
        <v>40</v>
      </c>
      <c r="B183" t="s">
        <v>119</v>
      </c>
      <c r="F183" s="84">
        <v>250</v>
      </c>
      <c r="G183" s="104">
        <v>400</v>
      </c>
      <c r="H183" s="313">
        <f t="shared" si="19"/>
        <v>419.59999999999997</v>
      </c>
      <c r="I183">
        <f t="shared" si="21"/>
        <v>97</v>
      </c>
      <c r="J183" t="s">
        <v>118</v>
      </c>
      <c r="K183" s="84">
        <v>9500</v>
      </c>
      <c r="L183" s="104">
        <v>10055</v>
      </c>
      <c r="M183" s="313">
        <f t="shared" si="22"/>
        <v>10547.695</v>
      </c>
    </row>
    <row r="184" spans="1:20" ht="15" thickBot="1">
      <c r="A184">
        <f t="shared" si="20"/>
        <v>41</v>
      </c>
      <c r="B184" t="s">
        <v>121</v>
      </c>
      <c r="F184" s="84">
        <v>40</v>
      </c>
      <c r="G184" s="104">
        <v>50</v>
      </c>
      <c r="H184" s="313">
        <f t="shared" si="19"/>
        <v>52.449999999999996</v>
      </c>
      <c r="I184">
        <f t="shared" si="21"/>
        <v>98</v>
      </c>
      <c r="J184" t="s">
        <v>120</v>
      </c>
      <c r="K184" s="84">
        <v>500</v>
      </c>
      <c r="L184" s="104">
        <v>500</v>
      </c>
      <c r="M184" s="313">
        <f t="shared" si="22"/>
        <v>524.5</v>
      </c>
      <c r="N184" t="s">
        <v>221</v>
      </c>
    </row>
    <row r="185" spans="1:20" ht="15" thickBot="1">
      <c r="A185">
        <f t="shared" si="20"/>
        <v>42</v>
      </c>
      <c r="B185" t="s">
        <v>123</v>
      </c>
      <c r="F185" s="84">
        <v>80</v>
      </c>
      <c r="G185" s="104">
        <v>170</v>
      </c>
      <c r="H185" s="313">
        <f t="shared" si="19"/>
        <v>178.32999999999998</v>
      </c>
      <c r="I185">
        <f t="shared" si="21"/>
        <v>99</v>
      </c>
      <c r="J185" t="s">
        <v>122</v>
      </c>
      <c r="K185" s="84">
        <v>3665</v>
      </c>
      <c r="L185" s="104">
        <v>3665</v>
      </c>
      <c r="M185" s="313">
        <f t="shared" si="22"/>
        <v>3844.5849999999996</v>
      </c>
    </row>
    <row r="186" spans="1:20" ht="15" thickBot="1">
      <c r="A186">
        <f t="shared" si="20"/>
        <v>43</v>
      </c>
      <c r="B186" t="s">
        <v>125</v>
      </c>
      <c r="F186" s="84">
        <v>395</v>
      </c>
      <c r="G186" s="104">
        <v>460</v>
      </c>
      <c r="H186" s="313">
        <f t="shared" si="19"/>
        <v>482.53999999999996</v>
      </c>
      <c r="I186">
        <f t="shared" si="21"/>
        <v>100</v>
      </c>
      <c r="J186" t="s">
        <v>124</v>
      </c>
      <c r="K186" s="84">
        <v>4200</v>
      </c>
      <c r="L186" s="104">
        <v>5265</v>
      </c>
      <c r="M186" s="313">
        <f t="shared" si="22"/>
        <v>5522.9849999999997</v>
      </c>
    </row>
    <row r="187" spans="1:20" ht="15" thickBot="1">
      <c r="A187">
        <f t="shared" si="20"/>
        <v>44</v>
      </c>
      <c r="B187" t="s">
        <v>127</v>
      </c>
      <c r="F187" s="84">
        <v>160</v>
      </c>
      <c r="G187" s="104">
        <v>200</v>
      </c>
      <c r="H187" s="313">
        <f t="shared" si="19"/>
        <v>209.79999999999998</v>
      </c>
      <c r="I187">
        <f t="shared" si="21"/>
        <v>101</v>
      </c>
      <c r="J187" t="s">
        <v>126</v>
      </c>
      <c r="K187" s="84">
        <v>5450</v>
      </c>
      <c r="L187" s="104">
        <v>5725</v>
      </c>
      <c r="M187" s="313">
        <f t="shared" si="22"/>
        <v>6005.5249999999996</v>
      </c>
      <c r="T187" s="31"/>
    </row>
    <row r="188" spans="1:20" ht="15" thickBot="1">
      <c r="A188">
        <f t="shared" si="20"/>
        <v>45</v>
      </c>
      <c r="B188" s="4" t="s">
        <v>129</v>
      </c>
      <c r="F188" s="84">
        <v>4360</v>
      </c>
      <c r="G188" s="106">
        <v>4760</v>
      </c>
      <c r="H188" s="313">
        <f t="shared" si="19"/>
        <v>4993.24</v>
      </c>
      <c r="I188">
        <f t="shared" si="21"/>
        <v>102</v>
      </c>
      <c r="J188" t="s">
        <v>128</v>
      </c>
      <c r="K188" s="84">
        <v>6000</v>
      </c>
      <c r="L188" s="104">
        <v>5985</v>
      </c>
      <c r="M188" s="313">
        <f t="shared" si="22"/>
        <v>6278.2649999999994</v>
      </c>
      <c r="T188" s="31"/>
    </row>
    <row r="189" spans="1:20" ht="15" thickBot="1">
      <c r="A189">
        <f t="shared" si="20"/>
        <v>46</v>
      </c>
      <c r="B189" s="4" t="s">
        <v>131</v>
      </c>
      <c r="F189" s="84">
        <v>2740</v>
      </c>
      <c r="G189" s="106">
        <v>2740</v>
      </c>
      <c r="H189" s="313">
        <f t="shared" si="19"/>
        <v>2874.2599999999998</v>
      </c>
      <c r="I189">
        <f t="shared" si="21"/>
        <v>103</v>
      </c>
      <c r="J189" s="4" t="s">
        <v>130</v>
      </c>
      <c r="K189" s="84">
        <v>3525</v>
      </c>
      <c r="L189" s="104">
        <v>3650</v>
      </c>
      <c r="M189" s="313">
        <f t="shared" si="22"/>
        <v>3828.85</v>
      </c>
      <c r="T189" s="31"/>
    </row>
    <row r="190" spans="1:20" ht="15" thickBot="1">
      <c r="A190">
        <f t="shared" si="20"/>
        <v>47</v>
      </c>
      <c r="B190" s="4" t="s">
        <v>133</v>
      </c>
      <c r="F190" s="84">
        <v>4040</v>
      </c>
      <c r="G190" s="106">
        <v>4700</v>
      </c>
      <c r="H190" s="313">
        <f t="shared" si="19"/>
        <v>4930.2999999999993</v>
      </c>
      <c r="I190">
        <f t="shared" si="21"/>
        <v>104</v>
      </c>
      <c r="J190" s="4" t="s">
        <v>134</v>
      </c>
      <c r="K190" s="84">
        <v>1500</v>
      </c>
      <c r="L190" s="104">
        <v>1750</v>
      </c>
      <c r="M190" s="313">
        <f t="shared" si="22"/>
        <v>1835.7499999999998</v>
      </c>
      <c r="T190" s="31"/>
    </row>
    <row r="191" spans="1:20" ht="15" thickBot="1">
      <c r="A191">
        <f t="shared" si="20"/>
        <v>48</v>
      </c>
      <c r="B191" s="4" t="s">
        <v>135</v>
      </c>
      <c r="F191" s="84">
        <v>4415</v>
      </c>
      <c r="G191" s="106">
        <v>4800</v>
      </c>
      <c r="H191" s="313">
        <f t="shared" si="19"/>
        <v>5035.2</v>
      </c>
      <c r="I191">
        <f t="shared" si="21"/>
        <v>105</v>
      </c>
      <c r="J191" s="4" t="s">
        <v>132</v>
      </c>
      <c r="K191" s="84">
        <v>4185</v>
      </c>
      <c r="L191" s="104">
        <v>5482</v>
      </c>
      <c r="M191" s="313">
        <f t="shared" si="22"/>
        <v>5750.6179999999995</v>
      </c>
      <c r="T191" s="31"/>
    </row>
    <row r="192" spans="1:20" ht="15" thickBot="1">
      <c r="A192">
        <f t="shared" si="20"/>
        <v>49</v>
      </c>
      <c r="B192" s="4" t="s">
        <v>137</v>
      </c>
      <c r="F192" s="84">
        <v>675</v>
      </c>
      <c r="G192" s="95" t="s">
        <v>699</v>
      </c>
      <c r="H192" s="313"/>
      <c r="I192">
        <f t="shared" si="21"/>
        <v>106</v>
      </c>
      <c r="J192" s="4" t="s">
        <v>136</v>
      </c>
      <c r="K192" s="84">
        <v>750</v>
      </c>
      <c r="L192" s="104">
        <v>1000</v>
      </c>
      <c r="M192" s="313">
        <f t="shared" si="22"/>
        <v>1049</v>
      </c>
      <c r="T192" s="33"/>
    </row>
    <row r="193" spans="1:20" ht="15" thickBot="1">
      <c r="A193">
        <f t="shared" si="20"/>
        <v>50</v>
      </c>
      <c r="B193" s="4" t="s">
        <v>290</v>
      </c>
      <c r="F193" s="84">
        <v>1380</v>
      </c>
      <c r="G193" s="106">
        <v>3850</v>
      </c>
      <c r="H193" s="313">
        <f t="shared" si="19"/>
        <v>4038.6499999999996</v>
      </c>
      <c r="I193">
        <f t="shared" si="21"/>
        <v>107</v>
      </c>
      <c r="J193" t="s">
        <v>138</v>
      </c>
      <c r="K193" s="84">
        <v>5530</v>
      </c>
      <c r="L193" s="104">
        <v>6040</v>
      </c>
      <c r="M193" s="313">
        <f t="shared" si="22"/>
        <v>6335.96</v>
      </c>
      <c r="T193" s="33"/>
    </row>
    <row r="194" spans="1:20" ht="15" thickBot="1">
      <c r="A194">
        <f t="shared" si="20"/>
        <v>51</v>
      </c>
      <c r="B194" s="4" t="s">
        <v>291</v>
      </c>
      <c r="F194" s="84">
        <v>7540</v>
      </c>
      <c r="G194" s="106">
        <v>8820</v>
      </c>
      <c r="H194" s="313">
        <f t="shared" si="19"/>
        <v>9252.18</v>
      </c>
      <c r="I194">
        <f t="shared" si="21"/>
        <v>108</v>
      </c>
      <c r="J194" t="s">
        <v>140</v>
      </c>
      <c r="K194" s="84">
        <v>1940</v>
      </c>
      <c r="L194" s="104">
        <v>2200</v>
      </c>
      <c r="M194" s="313">
        <f t="shared" si="22"/>
        <v>2307.7999999999997</v>
      </c>
      <c r="T194" s="33"/>
    </row>
    <row r="195" spans="1:20" ht="15" thickBot="1">
      <c r="A195">
        <f t="shared" si="20"/>
        <v>52</v>
      </c>
      <c r="B195" s="4" t="s">
        <v>141</v>
      </c>
      <c r="F195" s="84">
        <v>2055</v>
      </c>
      <c r="G195" s="106">
        <v>2325</v>
      </c>
      <c r="H195" s="313">
        <f t="shared" si="19"/>
        <v>2438.9249999999997</v>
      </c>
      <c r="I195">
        <f t="shared" si="21"/>
        <v>109</v>
      </c>
      <c r="J195" t="s">
        <v>142</v>
      </c>
      <c r="K195" s="84" t="s">
        <v>209</v>
      </c>
      <c r="L195" s="95" t="s">
        <v>209</v>
      </c>
      <c r="M195" s="313"/>
      <c r="T195" s="33"/>
    </row>
    <row r="196" spans="1:20" ht="15" thickBot="1">
      <c r="A196">
        <f t="shared" si="20"/>
        <v>53</v>
      </c>
      <c r="B196" s="4" t="s">
        <v>147</v>
      </c>
      <c r="C196" s="34"/>
      <c r="D196" s="34"/>
      <c r="E196" s="34"/>
      <c r="F196" s="84">
        <v>7505</v>
      </c>
      <c r="G196" s="106">
        <v>7900</v>
      </c>
      <c r="H196" s="313">
        <f t="shared" si="19"/>
        <v>8287.1</v>
      </c>
      <c r="I196">
        <f t="shared" si="21"/>
        <v>110</v>
      </c>
      <c r="J196" s="4" t="s">
        <v>144</v>
      </c>
      <c r="K196" s="84">
        <v>4345</v>
      </c>
      <c r="L196" s="104">
        <v>5240</v>
      </c>
      <c r="M196" s="313">
        <f t="shared" si="22"/>
        <v>5496.7599999999993</v>
      </c>
      <c r="T196" s="36"/>
    </row>
    <row r="197" spans="1:20" ht="15" thickBot="1">
      <c r="A197">
        <f t="shared" si="20"/>
        <v>54</v>
      </c>
      <c r="B197" s="4" t="s">
        <v>292</v>
      </c>
      <c r="C197" s="34"/>
      <c r="D197" s="34"/>
      <c r="E197" s="34"/>
      <c r="F197" s="84">
        <v>25325</v>
      </c>
      <c r="G197" s="106">
        <v>26680</v>
      </c>
      <c r="H197" s="313">
        <f t="shared" si="19"/>
        <v>27987.32</v>
      </c>
      <c r="I197">
        <f t="shared" si="21"/>
        <v>111</v>
      </c>
      <c r="J197" s="109" t="s">
        <v>146</v>
      </c>
      <c r="K197" s="84">
        <v>6600</v>
      </c>
      <c r="L197" s="104">
        <v>9445</v>
      </c>
      <c r="M197" s="313">
        <f t="shared" si="22"/>
        <v>9907.8049999999985</v>
      </c>
      <c r="N197" t="s">
        <v>702</v>
      </c>
      <c r="T197" s="36"/>
    </row>
    <row r="198" spans="1:20" ht="15" thickBot="1">
      <c r="A198">
        <f t="shared" si="20"/>
        <v>55</v>
      </c>
      <c r="B198" s="4" t="s">
        <v>153</v>
      </c>
      <c r="C198" s="34"/>
      <c r="D198" s="34"/>
      <c r="E198" s="34"/>
      <c r="F198" s="84">
        <v>0</v>
      </c>
      <c r="G198" s="107" t="s">
        <v>32</v>
      </c>
      <c r="H198" s="313"/>
      <c r="I198">
        <f t="shared" si="21"/>
        <v>112</v>
      </c>
      <c r="J198" s="4" t="s">
        <v>148</v>
      </c>
      <c r="K198" s="84">
        <v>1620</v>
      </c>
      <c r="L198" s="95">
        <v>1750</v>
      </c>
      <c r="M198" s="313">
        <f t="shared" si="22"/>
        <v>1835.7499999999998</v>
      </c>
      <c r="T198" s="36"/>
    </row>
    <row r="199" spans="1:20" ht="15" thickBot="1">
      <c r="A199">
        <f t="shared" si="20"/>
        <v>56</v>
      </c>
      <c r="B199" s="4" t="s">
        <v>293</v>
      </c>
      <c r="F199" s="84">
        <v>1465</v>
      </c>
      <c r="G199" s="107" t="s">
        <v>32</v>
      </c>
      <c r="H199" s="313"/>
      <c r="I199">
        <f t="shared" si="21"/>
        <v>113</v>
      </c>
      <c r="J199" t="s">
        <v>150</v>
      </c>
      <c r="K199" s="84">
        <v>605</v>
      </c>
      <c r="L199" s="108">
        <v>800</v>
      </c>
      <c r="M199" s="313">
        <f t="shared" si="22"/>
        <v>839.19999999999993</v>
      </c>
      <c r="T199" s="33"/>
    </row>
    <row r="200" spans="1:20" ht="15" thickBot="1">
      <c r="A200">
        <f t="shared" si="20"/>
        <v>57</v>
      </c>
      <c r="B200" s="4" t="s">
        <v>294</v>
      </c>
      <c r="F200" s="84">
        <v>3390</v>
      </c>
      <c r="G200" s="107" t="s">
        <v>32</v>
      </c>
      <c r="H200" s="313"/>
      <c r="I200">
        <f t="shared" si="21"/>
        <v>114</v>
      </c>
      <c r="J200" t="s">
        <v>152</v>
      </c>
      <c r="K200" s="84">
        <v>605</v>
      </c>
      <c r="L200" s="108">
        <v>800</v>
      </c>
      <c r="M200" s="313">
        <f t="shared" si="22"/>
        <v>839.19999999999993</v>
      </c>
      <c r="T200" s="33"/>
    </row>
    <row r="201" spans="1:20" ht="15" thickBot="1">
      <c r="B201" s="4"/>
      <c r="F201" s="110"/>
      <c r="I201">
        <f t="shared" si="21"/>
        <v>115</v>
      </c>
      <c r="J201" t="s">
        <v>154</v>
      </c>
      <c r="K201" s="84">
        <v>880</v>
      </c>
      <c r="L201" s="108">
        <v>1150</v>
      </c>
      <c r="M201" s="313">
        <f t="shared" si="22"/>
        <v>1206.3499999999999</v>
      </c>
      <c r="T201" s="33"/>
    </row>
    <row r="202" spans="1:20" ht="15" thickBot="1">
      <c r="B202" s="4"/>
      <c r="I202">
        <f t="shared" si="21"/>
        <v>116</v>
      </c>
      <c r="J202" t="s">
        <v>156</v>
      </c>
      <c r="K202" s="84">
        <v>605</v>
      </c>
      <c r="L202" s="108">
        <v>800</v>
      </c>
      <c r="M202" s="313">
        <f t="shared" si="22"/>
        <v>839.19999999999993</v>
      </c>
    </row>
    <row r="203" spans="1:20" ht="15" thickBot="1">
      <c r="B203" s="4"/>
      <c r="I203">
        <f t="shared" si="21"/>
        <v>117</v>
      </c>
      <c r="J203" t="s">
        <v>157</v>
      </c>
      <c r="K203" s="84">
        <v>880</v>
      </c>
      <c r="L203" s="108">
        <v>1150</v>
      </c>
      <c r="M203" s="313">
        <f t="shared" si="22"/>
        <v>1206.3499999999999</v>
      </c>
    </row>
    <row r="204" spans="1:20" ht="15" thickBot="1">
      <c r="B204" s="4"/>
      <c r="C204" s="4"/>
      <c r="D204" s="4"/>
      <c r="E204" s="4"/>
      <c r="F204" s="4"/>
      <c r="G204" s="4"/>
      <c r="H204" s="4"/>
      <c r="I204">
        <f t="shared" si="21"/>
        <v>118</v>
      </c>
      <c r="J204" t="s">
        <v>158</v>
      </c>
      <c r="K204" s="84">
        <v>1560</v>
      </c>
      <c r="L204" s="104">
        <v>2000</v>
      </c>
      <c r="M204" s="313">
        <f t="shared" si="22"/>
        <v>2098</v>
      </c>
      <c r="N204" t="s">
        <v>289</v>
      </c>
    </row>
    <row r="205" spans="1:20" ht="15" thickBot="1">
      <c r="B205" s="4"/>
      <c r="C205" s="4"/>
      <c r="D205" s="4"/>
      <c r="E205" s="4"/>
      <c r="F205" s="4"/>
      <c r="G205" s="4"/>
      <c r="H205" s="4"/>
      <c r="I205">
        <f t="shared" si="21"/>
        <v>119</v>
      </c>
      <c r="J205" t="s">
        <v>160</v>
      </c>
      <c r="K205" s="84">
        <v>1710</v>
      </c>
      <c r="L205" s="104">
        <v>2200</v>
      </c>
      <c r="M205" s="313">
        <f t="shared" si="22"/>
        <v>2307.7999999999997</v>
      </c>
    </row>
    <row r="206" spans="1:20" ht="15" thickBot="1">
      <c r="B206" s="4"/>
      <c r="C206" s="4"/>
      <c r="D206" s="4"/>
      <c r="E206" s="4"/>
      <c r="F206" s="4"/>
      <c r="G206" s="4"/>
      <c r="H206" s="4"/>
      <c r="I206">
        <f t="shared" si="21"/>
        <v>120</v>
      </c>
      <c r="J206" t="s">
        <v>161</v>
      </c>
      <c r="K206" s="84">
        <v>1895</v>
      </c>
      <c r="L206" s="104">
        <v>2400</v>
      </c>
      <c r="M206" s="313">
        <f t="shared" si="22"/>
        <v>2517.6</v>
      </c>
    </row>
    <row r="207" spans="1:20" ht="15" thickBot="1">
      <c r="B207" s="4"/>
      <c r="C207" s="4"/>
      <c r="D207" s="4"/>
      <c r="E207" s="4"/>
      <c r="F207" s="4"/>
      <c r="G207" s="4"/>
      <c r="H207" s="4"/>
      <c r="I207">
        <f t="shared" si="21"/>
        <v>121</v>
      </c>
      <c r="J207" t="s">
        <v>162</v>
      </c>
      <c r="K207" s="84">
        <v>1940</v>
      </c>
      <c r="L207" s="104">
        <v>2500</v>
      </c>
      <c r="M207" s="313">
        <f t="shared" si="22"/>
        <v>2622.5</v>
      </c>
    </row>
    <row r="208" spans="1:20" ht="15" thickBot="1">
      <c r="B208" s="4"/>
      <c r="C208" s="4"/>
      <c r="D208" s="4"/>
      <c r="E208" s="4"/>
      <c r="F208" s="4"/>
      <c r="G208" s="4"/>
      <c r="H208" s="4"/>
      <c r="I208">
        <v>122</v>
      </c>
      <c r="J208" t="s">
        <v>222</v>
      </c>
      <c r="K208" s="84">
        <v>125</v>
      </c>
      <c r="L208" s="96" t="s">
        <v>209</v>
      </c>
      <c r="M208" s="313"/>
    </row>
    <row r="209" spans="2:13" ht="15" thickBot="1">
      <c r="B209" s="4"/>
      <c r="C209" s="4"/>
      <c r="D209" s="4"/>
      <c r="E209" s="4"/>
      <c r="F209" s="4"/>
      <c r="G209" s="4"/>
      <c r="H209" s="4"/>
      <c r="I209">
        <f>I208+1</f>
        <v>123</v>
      </c>
      <c r="J209" t="s">
        <v>166</v>
      </c>
      <c r="K209" s="84">
        <v>370</v>
      </c>
      <c r="L209" s="108">
        <v>495</v>
      </c>
      <c r="M209" s="313">
        <f t="shared" si="22"/>
        <v>519.255</v>
      </c>
    </row>
    <row r="210" spans="2:13" ht="15" thickBot="1">
      <c r="B210" s="4"/>
      <c r="C210" s="4"/>
      <c r="D210" s="4"/>
      <c r="E210" s="4"/>
      <c r="F210" s="4"/>
      <c r="G210" s="4"/>
      <c r="H210" s="4"/>
      <c r="I210">
        <f t="shared" ref="I210:I220" si="23">I209+1</f>
        <v>124</v>
      </c>
      <c r="J210" t="s">
        <v>270</v>
      </c>
      <c r="K210" s="84">
        <v>1970</v>
      </c>
      <c r="L210" s="96" t="s">
        <v>209</v>
      </c>
      <c r="M210" s="313"/>
    </row>
    <row r="211" spans="2:13" ht="15" thickBot="1">
      <c r="B211" s="4"/>
      <c r="C211" s="4"/>
      <c r="D211" s="4"/>
      <c r="E211" s="4"/>
      <c r="F211" s="4"/>
      <c r="G211" s="4"/>
      <c r="H211" s="4"/>
      <c r="I211">
        <f t="shared" si="23"/>
        <v>125</v>
      </c>
      <c r="J211" t="s">
        <v>272</v>
      </c>
      <c r="K211" s="84">
        <v>75</v>
      </c>
      <c r="L211" s="108">
        <v>70</v>
      </c>
      <c r="M211" s="313">
        <f t="shared" si="22"/>
        <v>73.429999999999993</v>
      </c>
    </row>
    <row r="212" spans="2:13" ht="15" thickBot="1">
      <c r="B212" s="4"/>
      <c r="C212" s="4"/>
      <c r="D212" s="4"/>
      <c r="E212" s="4"/>
      <c r="F212" s="4"/>
      <c r="G212" s="4"/>
      <c r="H212" s="4"/>
      <c r="I212">
        <f t="shared" si="23"/>
        <v>126</v>
      </c>
      <c r="J212" t="s">
        <v>273</v>
      </c>
      <c r="K212" s="84" t="s">
        <v>32</v>
      </c>
      <c r="L212" s="96" t="s">
        <v>32</v>
      </c>
      <c r="M212" s="313"/>
    </row>
    <row r="213" spans="2:13" ht="15" thickBot="1">
      <c r="B213" s="4"/>
      <c r="C213" s="4"/>
      <c r="D213" s="4"/>
      <c r="E213" s="4"/>
      <c r="F213" s="4"/>
      <c r="G213" s="4"/>
      <c r="H213" s="4"/>
      <c r="I213">
        <f t="shared" si="23"/>
        <v>127</v>
      </c>
      <c r="J213" t="s">
        <v>274</v>
      </c>
      <c r="K213" s="84" t="s">
        <v>32</v>
      </c>
      <c r="L213" s="96" t="s">
        <v>32</v>
      </c>
      <c r="M213" s="313"/>
    </row>
    <row r="214" spans="2:13" ht="15" thickBot="1">
      <c r="B214" s="4"/>
      <c r="C214" s="4"/>
      <c r="D214" s="4"/>
      <c r="E214" s="4"/>
      <c r="F214" s="4"/>
      <c r="G214" s="4"/>
      <c r="H214" s="4"/>
      <c r="I214">
        <f t="shared" si="23"/>
        <v>128</v>
      </c>
      <c r="J214" t="s">
        <v>275</v>
      </c>
      <c r="K214" s="84" t="s">
        <v>32</v>
      </c>
      <c r="L214" s="96" t="s">
        <v>32</v>
      </c>
      <c r="M214" s="313"/>
    </row>
    <row r="215" spans="2:13" ht="15" thickBot="1">
      <c r="B215" s="4"/>
      <c r="C215" s="4"/>
      <c r="D215" s="4"/>
      <c r="E215" s="4"/>
      <c r="F215" s="4"/>
      <c r="G215" s="4"/>
      <c r="H215" s="4"/>
      <c r="I215">
        <f t="shared" si="23"/>
        <v>129</v>
      </c>
      <c r="J215" t="s">
        <v>277</v>
      </c>
      <c r="K215" s="84" t="s">
        <v>209</v>
      </c>
      <c r="L215" s="95" t="s">
        <v>209</v>
      </c>
      <c r="M215" s="313"/>
    </row>
    <row r="216" spans="2:13" ht="15" thickBot="1">
      <c r="I216">
        <f t="shared" si="23"/>
        <v>130</v>
      </c>
      <c r="J216" t="s">
        <v>280</v>
      </c>
      <c r="K216" s="84" t="s">
        <v>209</v>
      </c>
      <c r="L216" s="95" t="s">
        <v>209</v>
      </c>
      <c r="M216" s="313"/>
    </row>
    <row r="217" spans="2:13" ht="15" thickBot="1">
      <c r="I217">
        <f t="shared" si="23"/>
        <v>131</v>
      </c>
      <c r="J217" t="s">
        <v>299</v>
      </c>
      <c r="K217" s="84">
        <v>10970</v>
      </c>
      <c r="L217" s="96" t="s">
        <v>209</v>
      </c>
      <c r="M217" s="313"/>
    </row>
    <row r="218" spans="2:13" ht="15" thickBot="1">
      <c r="I218">
        <f t="shared" si="23"/>
        <v>132</v>
      </c>
      <c r="J218" s="4" t="s">
        <v>136</v>
      </c>
      <c r="K218" s="84">
        <v>1650</v>
      </c>
      <c r="L218" s="111">
        <v>805</v>
      </c>
      <c r="M218" s="313">
        <f t="shared" si="22"/>
        <v>844.44499999999994</v>
      </c>
    </row>
    <row r="219" spans="2:13" ht="15" thickBot="1">
      <c r="I219">
        <f t="shared" si="23"/>
        <v>133</v>
      </c>
      <c r="J219" t="s">
        <v>300</v>
      </c>
      <c r="K219" s="84">
        <v>4950</v>
      </c>
      <c r="L219" s="96" t="s">
        <v>209</v>
      </c>
      <c r="M219" s="313"/>
    </row>
    <row r="220" spans="2:13" ht="15" thickBot="1">
      <c r="I220">
        <f t="shared" si="23"/>
        <v>134</v>
      </c>
      <c r="J220" t="s">
        <v>301</v>
      </c>
      <c r="K220" s="84">
        <v>2700</v>
      </c>
      <c r="L220" s="96" t="s">
        <v>209</v>
      </c>
      <c r="M220" s="313"/>
    </row>
    <row r="221" spans="2:13">
      <c r="K221" s="61"/>
    </row>
    <row r="222" spans="2:13">
      <c r="K222" s="61"/>
    </row>
    <row r="224" spans="2:13">
      <c r="B224" s="1" t="s">
        <v>223</v>
      </c>
    </row>
    <row r="226" spans="2:19" ht="15" thickBot="1">
      <c r="B226" s="1" t="s">
        <v>1</v>
      </c>
      <c r="E226" s="2" t="s">
        <v>228</v>
      </c>
      <c r="F226" s="2"/>
      <c r="G226" s="1" t="s">
        <v>745</v>
      </c>
      <c r="H226" s="1"/>
      <c r="J226" s="1" t="s">
        <v>233</v>
      </c>
      <c r="K226" s="1"/>
      <c r="L226" s="1"/>
      <c r="M226" s="1"/>
    </row>
    <row r="227" spans="2:19">
      <c r="G227" s="1" t="s">
        <v>749</v>
      </c>
      <c r="J227" s="1" t="s">
        <v>234</v>
      </c>
      <c r="K227" s="1"/>
      <c r="L227" s="1"/>
      <c r="M227" s="1"/>
    </row>
    <row r="228" spans="2:19" ht="15" thickBot="1">
      <c r="B228" s="1" t="s">
        <v>2</v>
      </c>
      <c r="E228" s="2" t="s">
        <v>304</v>
      </c>
      <c r="F228" s="2"/>
      <c r="G228" s="1" t="s">
        <v>747</v>
      </c>
      <c r="H228" s="1"/>
    </row>
    <row r="231" spans="2:19">
      <c r="B231" s="1"/>
      <c r="C231" s="1" t="s">
        <v>247</v>
      </c>
      <c r="F231" s="1"/>
      <c r="G231" s="1" t="s">
        <v>248</v>
      </c>
      <c r="H231" s="18"/>
      <c r="I231" s="18"/>
      <c r="J231" s="18"/>
      <c r="K231" s="18" t="s">
        <v>249</v>
      </c>
      <c r="L231" s="1"/>
      <c r="M231" s="1" t="s">
        <v>748</v>
      </c>
    </row>
    <row r="232" spans="2:19">
      <c r="C232" t="s">
        <v>252</v>
      </c>
      <c r="G232" s="61" t="s">
        <v>252</v>
      </c>
      <c r="H232" s="103"/>
      <c r="I232" s="103"/>
      <c r="J232" s="103"/>
      <c r="K232" s="103" t="s">
        <v>252</v>
      </c>
      <c r="L232" s="61"/>
      <c r="M232" s="61"/>
    </row>
    <row r="233" spans="2:19" ht="15" thickBot="1">
      <c r="F233" s="23" t="s">
        <v>253</v>
      </c>
      <c r="G233" s="84"/>
      <c r="H233" s="103"/>
      <c r="I233" s="103"/>
      <c r="J233" s="103" t="s">
        <v>254</v>
      </c>
      <c r="K233" s="121">
        <v>144491</v>
      </c>
      <c r="L233" s="100">
        <v>182176</v>
      </c>
      <c r="M233" s="313">
        <f t="shared" ref="M233:M237" si="24">L233*1.049</f>
        <v>191102.62399999998</v>
      </c>
      <c r="P233" s="1"/>
      <c r="Q233" s="1" t="s">
        <v>251</v>
      </c>
    </row>
    <row r="234" spans="2:19">
      <c r="G234" s="61"/>
      <c r="H234" s="103"/>
      <c r="I234" s="103"/>
      <c r="J234" s="103"/>
      <c r="K234" s="103"/>
      <c r="L234" s="103"/>
      <c r="M234" s="313"/>
      <c r="Q234" t="s">
        <v>252</v>
      </c>
    </row>
    <row r="235" spans="2:19" ht="15" thickBot="1">
      <c r="B235" s="23" t="s">
        <v>257</v>
      </c>
      <c r="C235" s="84">
        <v>96668</v>
      </c>
      <c r="D235" s="48">
        <f>134765+6743</f>
        <v>141508</v>
      </c>
      <c r="E235" s="313">
        <f t="shared" ref="E235:E239" si="25">D235*1.049</f>
        <v>148441.89199999999</v>
      </c>
      <c r="F235" s="23" t="s">
        <v>258</v>
      </c>
      <c r="G235" s="84"/>
      <c r="H235" s="103"/>
      <c r="I235" s="103"/>
      <c r="J235" s="103" t="s">
        <v>259</v>
      </c>
      <c r="K235" s="121">
        <v>147800</v>
      </c>
      <c r="L235" s="100">
        <v>186713</v>
      </c>
      <c r="M235" s="313">
        <f t="shared" si="24"/>
        <v>195861.93699999998</v>
      </c>
      <c r="Q235" t="s">
        <v>256</v>
      </c>
    </row>
    <row r="236" spans="2:19">
      <c r="B236" s="23"/>
      <c r="C236" s="61"/>
      <c r="E236" s="313"/>
      <c r="F236" s="23"/>
      <c r="G236" s="61"/>
      <c r="H236" s="61"/>
      <c r="I236" s="61"/>
      <c r="J236" s="61"/>
      <c r="K236" s="61"/>
      <c r="L236" s="103"/>
      <c r="M236" s="313"/>
    </row>
    <row r="237" spans="2:19" ht="15" thickBot="1">
      <c r="B237" s="23" t="s">
        <v>261</v>
      </c>
      <c r="C237" s="84">
        <v>98834</v>
      </c>
      <c r="D237" s="48">
        <f>137948+6743</f>
        <v>144691</v>
      </c>
      <c r="E237" s="313">
        <f t="shared" si="25"/>
        <v>151780.859</v>
      </c>
      <c r="F237" s="23" t="s">
        <v>262</v>
      </c>
      <c r="G237" s="84"/>
      <c r="H237" s="61"/>
      <c r="I237" s="61"/>
      <c r="J237" s="103" t="s">
        <v>694</v>
      </c>
      <c r="K237" s="84">
        <v>150358</v>
      </c>
      <c r="L237" s="100">
        <v>189451</v>
      </c>
      <c r="M237" s="313">
        <f t="shared" si="24"/>
        <v>198734.09899999999</v>
      </c>
      <c r="P237" s="23" t="s">
        <v>257</v>
      </c>
      <c r="Q237" s="17">
        <v>124641</v>
      </c>
      <c r="R237" s="48">
        <f>168288+6743</f>
        <v>175031</v>
      </c>
      <c r="S237" s="313">
        <f t="shared" ref="S237:S241" si="26">R237*1.049</f>
        <v>183607.519</v>
      </c>
    </row>
    <row r="238" spans="2:19">
      <c r="B238" s="23"/>
      <c r="C238" s="61"/>
      <c r="E238" s="313"/>
      <c r="F238" s="23"/>
      <c r="G238" s="61"/>
      <c r="H238" s="61"/>
      <c r="I238" s="61"/>
      <c r="J238" s="61"/>
      <c r="K238" s="103" t="s">
        <v>264</v>
      </c>
      <c r="L238" s="61"/>
      <c r="M238" s="61"/>
      <c r="P238" s="23"/>
      <c r="S238" s="313"/>
    </row>
    <row r="239" spans="2:19" ht="15" thickBot="1">
      <c r="B239" s="23" t="s">
        <v>265</v>
      </c>
      <c r="C239" s="84">
        <v>101029</v>
      </c>
      <c r="D239" s="48">
        <f>141174+6743</f>
        <v>147917</v>
      </c>
      <c r="E239" s="313">
        <f t="shared" si="25"/>
        <v>155164.93299999999</v>
      </c>
      <c r="F239" s="23" t="s">
        <v>254</v>
      </c>
      <c r="G239" s="84">
        <v>142268</v>
      </c>
      <c r="H239" s="122">
        <f>177240+11644</f>
        <v>188884</v>
      </c>
      <c r="I239" s="313">
        <f t="shared" ref="I239:I243" si="27">H239*1.049</f>
        <v>198139.31599999999</v>
      </c>
      <c r="J239" s="113"/>
      <c r="K239" s="103" t="s">
        <v>252</v>
      </c>
      <c r="L239" s="61"/>
      <c r="M239" s="61"/>
      <c r="P239" s="23" t="s">
        <v>261</v>
      </c>
      <c r="Q239" s="17">
        <v>126807</v>
      </c>
      <c r="R239" s="48">
        <f>171471+6743</f>
        <v>178214</v>
      </c>
      <c r="S239" s="313">
        <f t="shared" si="26"/>
        <v>186946.48599999998</v>
      </c>
    </row>
    <row r="240" spans="2:19" ht="15" thickBot="1">
      <c r="C240" s="1"/>
      <c r="F240" s="23"/>
      <c r="G240" s="61"/>
      <c r="H240" s="114"/>
      <c r="I240" s="313"/>
      <c r="J240" s="114" t="s">
        <v>257</v>
      </c>
      <c r="K240" s="115" t="s">
        <v>204</v>
      </c>
      <c r="L240" s="61"/>
      <c r="M240" s="61"/>
      <c r="P240" s="23"/>
      <c r="S240" s="313"/>
    </row>
    <row r="241" spans="1:19" ht="15" thickBot="1">
      <c r="C241" s="1"/>
      <c r="F241" s="23" t="s">
        <v>259</v>
      </c>
      <c r="G241" s="84">
        <v>145430</v>
      </c>
      <c r="H241" s="123">
        <v>193273</v>
      </c>
      <c r="I241" s="313">
        <f t="shared" si="27"/>
        <v>202743.37699999998</v>
      </c>
      <c r="J241" s="114" t="s">
        <v>261</v>
      </c>
      <c r="K241" s="116" t="s">
        <v>204</v>
      </c>
      <c r="L241" s="61"/>
      <c r="M241" s="55" t="s">
        <v>250</v>
      </c>
      <c r="P241" s="23" t="s">
        <v>265</v>
      </c>
      <c r="Q241" s="17">
        <v>129002</v>
      </c>
      <c r="R241" s="48">
        <f>174697+6743</f>
        <v>181440</v>
      </c>
      <c r="S241" s="313">
        <f t="shared" si="26"/>
        <v>190330.56</v>
      </c>
    </row>
    <row r="242" spans="1:19" ht="15" thickBot="1">
      <c r="C242" s="1"/>
      <c r="F242" s="23"/>
      <c r="G242" s="61"/>
      <c r="H242" s="114"/>
      <c r="I242" s="313"/>
      <c r="J242" s="114" t="s">
        <v>254</v>
      </c>
      <c r="K242" s="116">
        <v>119509</v>
      </c>
      <c r="L242" s="64">
        <f>162275+3293</f>
        <v>165568</v>
      </c>
      <c r="M242" s="61"/>
    </row>
    <row r="243" spans="1:19" ht="15" thickBot="1">
      <c r="C243" s="1"/>
      <c r="F243" s="23" t="s">
        <v>267</v>
      </c>
      <c r="G243" s="84">
        <v>150095</v>
      </c>
      <c r="H243" s="123">
        <f>187073+11644</f>
        <v>198717</v>
      </c>
      <c r="I243" s="313">
        <f t="shared" si="27"/>
        <v>208454.13299999997</v>
      </c>
      <c r="J243" s="114" t="s">
        <v>259</v>
      </c>
      <c r="K243" s="116">
        <v>122493</v>
      </c>
      <c r="L243" s="64">
        <f>170172+3293</f>
        <v>173465</v>
      </c>
      <c r="M243" s="61"/>
    </row>
    <row r="244" spans="1:19" ht="15" thickBot="1">
      <c r="G244" s="61"/>
      <c r="H244" s="114"/>
      <c r="I244" s="114"/>
      <c r="J244" s="114" t="s">
        <v>267</v>
      </c>
      <c r="K244" s="116">
        <v>125483</v>
      </c>
      <c r="L244" s="64">
        <f>178085+3293</f>
        <v>181378</v>
      </c>
      <c r="M244" s="61"/>
    </row>
    <row r="245" spans="1:19" ht="15" thickBot="1">
      <c r="G245" s="61"/>
      <c r="H245" s="61"/>
      <c r="I245" s="61"/>
      <c r="J245" s="61"/>
      <c r="K245" s="61"/>
      <c r="L245" s="103" t="s">
        <v>257</v>
      </c>
      <c r="M245" s="84">
        <v>119305</v>
      </c>
      <c r="N245" s="48">
        <f>162953+6743</f>
        <v>169696</v>
      </c>
      <c r="O245" s="313">
        <f t="shared" ref="O245:O249" si="28">N245*1.049</f>
        <v>178011.10399999999</v>
      </c>
    </row>
    <row r="246" spans="1:19">
      <c r="G246" s="61"/>
      <c r="H246" s="61"/>
      <c r="I246" s="61"/>
      <c r="J246" s="61"/>
      <c r="K246" s="61"/>
      <c r="L246" s="103"/>
      <c r="M246" s="61"/>
      <c r="O246" s="313"/>
    </row>
    <row r="247" spans="1:19" ht="15" thickBot="1">
      <c r="G247" s="61"/>
      <c r="H247" s="61"/>
      <c r="I247" s="61"/>
      <c r="J247" s="61"/>
      <c r="K247" s="61"/>
      <c r="L247" s="103" t="s">
        <v>261</v>
      </c>
      <c r="M247" s="84">
        <v>121471</v>
      </c>
      <c r="N247" s="48">
        <f>166135+6743</f>
        <v>172878</v>
      </c>
      <c r="O247" s="313">
        <f t="shared" si="28"/>
        <v>181349.022</v>
      </c>
    </row>
    <row r="248" spans="1:19">
      <c r="G248" s="61"/>
      <c r="H248" s="61"/>
      <c r="I248" s="61"/>
      <c r="J248" s="61"/>
      <c r="K248" s="61"/>
      <c r="L248" s="103"/>
      <c r="M248" s="61"/>
      <c r="O248" s="313"/>
    </row>
    <row r="249" spans="1:19" ht="15" thickBot="1">
      <c r="G249" s="61"/>
      <c r="H249" s="61"/>
      <c r="I249" s="61"/>
      <c r="J249" s="61"/>
      <c r="K249" s="61"/>
      <c r="L249" s="103" t="s">
        <v>265</v>
      </c>
      <c r="M249" s="84">
        <v>123666</v>
      </c>
      <c r="N249" s="48">
        <f>169362+6743</f>
        <v>176105</v>
      </c>
      <c r="O249" s="313">
        <f t="shared" si="28"/>
        <v>184734.14499999999</v>
      </c>
    </row>
    <row r="250" spans="1:19">
      <c r="B250" s="1" t="s">
        <v>239</v>
      </c>
      <c r="F250" s="61"/>
      <c r="G250" s="61"/>
      <c r="H250" s="61"/>
      <c r="I250" s="61"/>
      <c r="J250" s="61"/>
      <c r="K250" s="61"/>
      <c r="L250" s="61"/>
    </row>
    <row r="251" spans="1:19">
      <c r="F251" s="61"/>
      <c r="G251" s="61"/>
      <c r="H251" s="61"/>
      <c r="I251" s="61"/>
      <c r="J251" s="61"/>
      <c r="K251" s="61"/>
      <c r="L251" s="61"/>
      <c r="O251" s="35"/>
    </row>
    <row r="252" spans="1:19" ht="15" thickBot="1">
      <c r="A252">
        <v>1</v>
      </c>
      <c r="B252" s="4" t="s">
        <v>23</v>
      </c>
      <c r="F252" s="84">
        <v>1365</v>
      </c>
      <c r="G252" s="85">
        <v>2070</v>
      </c>
      <c r="H252" s="313">
        <f t="shared" ref="H252:H305" si="29">G252*1.049</f>
        <v>2171.4299999999998</v>
      </c>
      <c r="I252" s="61">
        <f>(A308+1)</f>
        <v>58</v>
      </c>
      <c r="J252" s="118" t="s">
        <v>24</v>
      </c>
      <c r="K252" s="84">
        <v>11140</v>
      </c>
      <c r="L252" s="85">
        <v>11700</v>
      </c>
      <c r="M252" s="313">
        <f t="shared" ref="M252:M315" si="30">L252*1.049</f>
        <v>12273.3</v>
      </c>
    </row>
    <row r="253" spans="1:19" ht="15" thickBot="1">
      <c r="A253">
        <f>(A252+1)</f>
        <v>2</v>
      </c>
      <c r="B253" s="4" t="s">
        <v>26</v>
      </c>
      <c r="F253" s="84">
        <v>1045</v>
      </c>
      <c r="G253" s="85">
        <v>1670</v>
      </c>
      <c r="H253" s="313">
        <f t="shared" si="29"/>
        <v>1751.83</v>
      </c>
      <c r="I253" s="61">
        <f>(I252+1)</f>
        <v>59</v>
      </c>
      <c r="J253" s="118" t="s">
        <v>298</v>
      </c>
      <c r="K253" s="84">
        <v>1270</v>
      </c>
      <c r="L253" s="86">
        <v>1195</v>
      </c>
      <c r="M253" s="313">
        <f t="shared" si="30"/>
        <v>1253.5549999999998</v>
      </c>
    </row>
    <row r="254" spans="1:19" ht="15" thickBot="1">
      <c r="A254">
        <f t="shared" ref="A254:A308" si="31">(A253+1)</f>
        <v>3</v>
      </c>
      <c r="B254" s="4" t="s">
        <v>29</v>
      </c>
      <c r="F254" s="84">
        <v>690</v>
      </c>
      <c r="G254" s="85">
        <v>995</v>
      </c>
      <c r="H254" s="313">
        <f t="shared" si="29"/>
        <v>1043.7549999999999</v>
      </c>
      <c r="I254" s="61">
        <f t="shared" ref="I254:I315" si="32">(I253+1)</f>
        <v>60</v>
      </c>
      <c r="J254" s="118" t="s">
        <v>35</v>
      </c>
      <c r="K254" s="84">
        <v>3356</v>
      </c>
      <c r="L254" s="85">
        <v>3925</v>
      </c>
      <c r="M254" s="313">
        <f t="shared" si="30"/>
        <v>4117.3249999999998</v>
      </c>
    </row>
    <row r="255" spans="1:19" ht="15" thickBot="1">
      <c r="A255">
        <f t="shared" si="31"/>
        <v>4</v>
      </c>
      <c r="B255" s="4" t="s">
        <v>34</v>
      </c>
      <c r="F255" s="84">
        <v>735</v>
      </c>
      <c r="G255" s="85">
        <v>800</v>
      </c>
      <c r="H255" s="313">
        <f t="shared" si="29"/>
        <v>839.19999999999993</v>
      </c>
      <c r="I255" s="61">
        <f t="shared" si="32"/>
        <v>61</v>
      </c>
      <c r="J255" s="124" t="s">
        <v>38</v>
      </c>
      <c r="K255" s="84">
        <v>10000</v>
      </c>
      <c r="L255" s="87">
        <v>12900</v>
      </c>
      <c r="M255" s="313">
        <f t="shared" si="30"/>
        <v>13532.099999999999</v>
      </c>
    </row>
    <row r="256" spans="1:19" ht="15" thickBot="1">
      <c r="A256">
        <f t="shared" si="31"/>
        <v>5</v>
      </c>
      <c r="B256" s="4" t="s">
        <v>37</v>
      </c>
      <c r="F256" s="84">
        <v>1170</v>
      </c>
      <c r="G256" s="85">
        <v>1290</v>
      </c>
      <c r="H256" s="313">
        <f t="shared" si="29"/>
        <v>1353.2099999999998</v>
      </c>
      <c r="I256" s="61">
        <f t="shared" si="32"/>
        <v>62</v>
      </c>
      <c r="J256" s="61" t="s">
        <v>279</v>
      </c>
      <c r="K256" s="84" t="s">
        <v>209</v>
      </c>
      <c r="L256" s="86" t="s">
        <v>209</v>
      </c>
      <c r="M256" s="313"/>
    </row>
    <row r="257" spans="1:14" ht="15" thickBot="1">
      <c r="A257">
        <f t="shared" si="31"/>
        <v>6</v>
      </c>
      <c r="B257" s="4" t="s">
        <v>39</v>
      </c>
      <c r="F257" s="84">
        <v>1830</v>
      </c>
      <c r="G257" s="85">
        <v>1930</v>
      </c>
      <c r="H257" s="313">
        <f t="shared" si="29"/>
        <v>2024.57</v>
      </c>
      <c r="I257" s="61">
        <f t="shared" si="32"/>
        <v>63</v>
      </c>
      <c r="J257" s="118" t="s">
        <v>40</v>
      </c>
      <c r="K257" s="84" t="s">
        <v>209</v>
      </c>
      <c r="L257" s="86">
        <v>13200</v>
      </c>
      <c r="M257" s="313">
        <f t="shared" si="30"/>
        <v>13846.8</v>
      </c>
      <c r="N257" s="1" t="s">
        <v>268</v>
      </c>
    </row>
    <row r="258" spans="1:14" ht="15" thickBot="1">
      <c r="A258">
        <f t="shared" si="31"/>
        <v>7</v>
      </c>
      <c r="B258" s="4" t="s">
        <v>41</v>
      </c>
      <c r="F258" s="84">
        <v>1330</v>
      </c>
      <c r="G258" s="85">
        <v>1660</v>
      </c>
      <c r="H258" s="313">
        <f t="shared" si="29"/>
        <v>1741.34</v>
      </c>
      <c r="I258" s="61">
        <f t="shared" si="32"/>
        <v>64</v>
      </c>
      <c r="J258" s="118" t="s">
        <v>42</v>
      </c>
      <c r="K258" s="84">
        <v>1065</v>
      </c>
      <c r="L258" s="85">
        <v>1210</v>
      </c>
      <c r="M258" s="313">
        <f t="shared" si="30"/>
        <v>1269.29</v>
      </c>
    </row>
    <row r="259" spans="1:14" ht="15" thickBot="1">
      <c r="A259">
        <f t="shared" si="31"/>
        <v>8</v>
      </c>
      <c r="B259" s="4" t="s">
        <v>43</v>
      </c>
      <c r="F259" s="84">
        <v>1545</v>
      </c>
      <c r="G259" s="85">
        <v>1990</v>
      </c>
      <c r="H259" s="313">
        <f t="shared" si="29"/>
        <v>2087.5099999999998</v>
      </c>
      <c r="I259" s="61">
        <f t="shared" si="32"/>
        <v>65</v>
      </c>
      <c r="J259" s="118" t="s">
        <v>44</v>
      </c>
      <c r="K259" s="84">
        <v>1110</v>
      </c>
      <c r="L259" s="85">
        <v>655</v>
      </c>
      <c r="M259" s="313">
        <f t="shared" si="30"/>
        <v>687.09499999999991</v>
      </c>
    </row>
    <row r="260" spans="1:14" ht="15" thickBot="1">
      <c r="A260">
        <f t="shared" si="31"/>
        <v>9</v>
      </c>
      <c r="B260" s="4" t="s">
        <v>45</v>
      </c>
      <c r="F260" s="84">
        <v>-120</v>
      </c>
      <c r="G260" s="85">
        <v>-120</v>
      </c>
      <c r="H260" s="313">
        <f t="shared" si="29"/>
        <v>-125.88</v>
      </c>
      <c r="I260" s="61">
        <f t="shared" si="32"/>
        <v>66</v>
      </c>
      <c r="J260" s="118" t="s">
        <v>46</v>
      </c>
      <c r="K260" s="84">
        <v>260</v>
      </c>
      <c r="L260" s="85">
        <v>300</v>
      </c>
      <c r="M260" s="313">
        <f t="shared" si="30"/>
        <v>314.7</v>
      </c>
    </row>
    <row r="261" spans="1:14" ht="15" thickBot="1">
      <c r="A261">
        <f t="shared" si="31"/>
        <v>10</v>
      </c>
      <c r="B261" s="4" t="s">
        <v>278</v>
      </c>
      <c r="F261" s="84" t="s">
        <v>208</v>
      </c>
      <c r="G261" s="86" t="s">
        <v>208</v>
      </c>
      <c r="H261" s="313"/>
      <c r="I261" s="61">
        <f t="shared" si="32"/>
        <v>67</v>
      </c>
      <c r="J261" s="118" t="s">
        <v>48</v>
      </c>
      <c r="K261" s="84">
        <v>870</v>
      </c>
      <c r="L261" s="85">
        <v>1100</v>
      </c>
      <c r="M261" s="313">
        <f t="shared" si="30"/>
        <v>1153.8999999999999</v>
      </c>
    </row>
    <row r="262" spans="1:14" ht="15" thickBot="1">
      <c r="A262">
        <f t="shared" si="31"/>
        <v>11</v>
      </c>
      <c r="B262" s="4" t="s">
        <v>60</v>
      </c>
      <c r="F262" s="84">
        <v>60</v>
      </c>
      <c r="G262" s="85">
        <v>75</v>
      </c>
      <c r="H262" s="313">
        <f t="shared" si="29"/>
        <v>78.674999999999997</v>
      </c>
      <c r="I262" s="61">
        <f t="shared" si="32"/>
        <v>68</v>
      </c>
      <c r="J262" s="118" t="s">
        <v>50</v>
      </c>
      <c r="K262" s="84">
        <v>160</v>
      </c>
      <c r="L262" s="85">
        <v>150</v>
      </c>
      <c r="M262" s="313">
        <f t="shared" si="30"/>
        <v>157.35</v>
      </c>
    </row>
    <row r="263" spans="1:14" ht="15" thickBot="1">
      <c r="A263">
        <f t="shared" si="31"/>
        <v>12</v>
      </c>
      <c r="B263" t="s">
        <v>62</v>
      </c>
      <c r="F263" s="84">
        <v>60</v>
      </c>
      <c r="G263" s="85">
        <v>75</v>
      </c>
      <c r="H263" s="313">
        <f t="shared" si="29"/>
        <v>78.674999999999997</v>
      </c>
      <c r="I263" s="61">
        <f t="shared" si="32"/>
        <v>69</v>
      </c>
      <c r="J263" s="118" t="s">
        <v>52</v>
      </c>
      <c r="K263" s="84">
        <v>660</v>
      </c>
      <c r="L263" s="85">
        <v>740</v>
      </c>
      <c r="M263" s="313">
        <f t="shared" si="30"/>
        <v>776.26</v>
      </c>
    </row>
    <row r="264" spans="1:14" ht="15" thickBot="1">
      <c r="A264">
        <f t="shared" si="31"/>
        <v>13</v>
      </c>
      <c r="B264" t="s">
        <v>64</v>
      </c>
      <c r="F264" s="84">
        <v>90</v>
      </c>
      <c r="G264" s="85">
        <v>135</v>
      </c>
      <c r="H264" s="313">
        <f t="shared" si="29"/>
        <v>141.61499999999998</v>
      </c>
      <c r="I264" s="61">
        <f t="shared" si="32"/>
        <v>70</v>
      </c>
      <c r="J264" s="118" t="s">
        <v>54</v>
      </c>
      <c r="K264" s="84" t="s">
        <v>192</v>
      </c>
      <c r="L264" s="86" t="s">
        <v>208</v>
      </c>
      <c r="M264" s="313"/>
    </row>
    <row r="265" spans="1:14" ht="15" thickBot="1">
      <c r="A265">
        <f t="shared" si="31"/>
        <v>14</v>
      </c>
      <c r="B265" s="31" t="s">
        <v>66</v>
      </c>
      <c r="F265" s="84">
        <v>70</v>
      </c>
      <c r="G265" s="85">
        <v>95</v>
      </c>
      <c r="H265" s="313">
        <f t="shared" si="29"/>
        <v>99.654999999999987</v>
      </c>
      <c r="I265" s="61">
        <f t="shared" si="32"/>
        <v>71</v>
      </c>
      <c r="J265" s="118" t="s">
        <v>59</v>
      </c>
      <c r="K265" s="84">
        <v>1110</v>
      </c>
      <c r="L265" s="85">
        <v>1165</v>
      </c>
      <c r="M265" s="313">
        <f t="shared" si="30"/>
        <v>1222.0849999999998</v>
      </c>
    </row>
    <row r="266" spans="1:14" ht="15" thickBot="1">
      <c r="A266">
        <f t="shared" si="31"/>
        <v>15</v>
      </c>
      <c r="B266" s="32" t="s">
        <v>68</v>
      </c>
      <c r="F266" s="84">
        <v>75</v>
      </c>
      <c r="G266" s="85">
        <v>125</v>
      </c>
      <c r="H266" s="313">
        <f t="shared" si="29"/>
        <v>131.125</v>
      </c>
      <c r="I266" s="61">
        <f t="shared" si="32"/>
        <v>72</v>
      </c>
      <c r="J266" s="118" t="s">
        <v>61</v>
      </c>
      <c r="K266" s="84">
        <v>2520</v>
      </c>
      <c r="L266" s="85">
        <v>2650</v>
      </c>
      <c r="M266" s="313">
        <f t="shared" si="30"/>
        <v>2779.85</v>
      </c>
    </row>
    <row r="267" spans="1:14" ht="15" thickBot="1">
      <c r="A267">
        <f t="shared" si="31"/>
        <v>16</v>
      </c>
      <c r="B267" s="32" t="s">
        <v>70</v>
      </c>
      <c r="F267" s="84">
        <v>80</v>
      </c>
      <c r="G267" s="85">
        <v>150</v>
      </c>
      <c r="H267" s="313">
        <f t="shared" si="29"/>
        <v>157.35</v>
      </c>
      <c r="I267" s="61">
        <f t="shared" si="32"/>
        <v>73</v>
      </c>
      <c r="J267" s="118" t="s">
        <v>63</v>
      </c>
      <c r="K267" s="84">
        <v>3130</v>
      </c>
      <c r="L267" s="85">
        <v>3290</v>
      </c>
      <c r="M267" s="313">
        <f t="shared" si="30"/>
        <v>3451.2099999999996</v>
      </c>
    </row>
    <row r="268" spans="1:14" ht="15" thickBot="1">
      <c r="A268">
        <f t="shared" si="31"/>
        <v>17</v>
      </c>
      <c r="B268" s="32" t="s">
        <v>72</v>
      </c>
      <c r="F268" s="84">
        <v>50</v>
      </c>
      <c r="G268" s="85">
        <v>50</v>
      </c>
      <c r="H268" s="313">
        <f t="shared" si="29"/>
        <v>52.449999999999996</v>
      </c>
      <c r="I268" s="61">
        <f t="shared" si="32"/>
        <v>74</v>
      </c>
      <c r="J268" s="118" t="s">
        <v>67</v>
      </c>
      <c r="K268" s="84">
        <v>120</v>
      </c>
      <c r="L268" s="85">
        <v>130</v>
      </c>
      <c r="M268" s="313">
        <f t="shared" si="30"/>
        <v>136.37</v>
      </c>
    </row>
    <row r="269" spans="1:14" ht="15" thickBot="1">
      <c r="A269">
        <f t="shared" si="31"/>
        <v>18</v>
      </c>
      <c r="B269" s="32" t="s">
        <v>74</v>
      </c>
      <c r="F269" s="84">
        <v>100</v>
      </c>
      <c r="G269" s="85">
        <v>120</v>
      </c>
      <c r="H269" s="313">
        <f t="shared" si="29"/>
        <v>125.88</v>
      </c>
      <c r="I269" s="61">
        <f t="shared" si="32"/>
        <v>75</v>
      </c>
      <c r="J269" s="118" t="s">
        <v>71</v>
      </c>
      <c r="K269" s="84">
        <v>285</v>
      </c>
      <c r="L269" s="85">
        <v>310</v>
      </c>
      <c r="M269" s="313">
        <f t="shared" si="30"/>
        <v>325.19</v>
      </c>
      <c r="N269" t="s">
        <v>700</v>
      </c>
    </row>
    <row r="270" spans="1:14" ht="15" thickBot="1">
      <c r="A270">
        <f t="shared" si="31"/>
        <v>19</v>
      </c>
      <c r="B270" s="31" t="s">
        <v>76</v>
      </c>
      <c r="C270" s="31"/>
      <c r="D270" s="31"/>
      <c r="E270" s="31"/>
      <c r="F270" s="84">
        <v>1600</v>
      </c>
      <c r="G270" s="86" t="s">
        <v>209</v>
      </c>
      <c r="H270" s="313"/>
      <c r="I270" s="61">
        <f t="shared" si="32"/>
        <v>76</v>
      </c>
      <c r="J270" s="118" t="s">
        <v>75</v>
      </c>
      <c r="K270" s="84">
        <v>145</v>
      </c>
      <c r="L270" s="85">
        <v>155</v>
      </c>
      <c r="M270" s="313">
        <f t="shared" si="30"/>
        <v>162.595</v>
      </c>
    </row>
    <row r="271" spans="1:14" ht="15" thickBot="1">
      <c r="A271">
        <f t="shared" si="31"/>
        <v>20</v>
      </c>
      <c r="B271" s="33" t="s">
        <v>281</v>
      </c>
      <c r="C271" s="32"/>
      <c r="D271" s="31"/>
      <c r="E271" s="31"/>
      <c r="F271" s="84">
        <v>505</v>
      </c>
      <c r="G271" s="85">
        <v>530</v>
      </c>
      <c r="H271" s="313">
        <f t="shared" si="29"/>
        <v>555.96999999999991</v>
      </c>
      <c r="I271" s="61">
        <f t="shared" si="32"/>
        <v>77</v>
      </c>
      <c r="J271" s="118" t="s">
        <v>78</v>
      </c>
      <c r="K271" s="84">
        <v>460</v>
      </c>
      <c r="L271" s="85">
        <v>485</v>
      </c>
      <c r="M271" s="313">
        <f t="shared" si="30"/>
        <v>508.76499999999999</v>
      </c>
    </row>
    <row r="272" spans="1:14" ht="15" thickBot="1">
      <c r="A272">
        <f t="shared" si="31"/>
        <v>21</v>
      </c>
      <c r="B272" s="4" t="s">
        <v>81</v>
      </c>
      <c r="C272" s="32"/>
      <c r="D272" s="31"/>
      <c r="E272" s="31"/>
      <c r="F272" s="84" t="s">
        <v>208</v>
      </c>
      <c r="G272" s="85">
        <v>530</v>
      </c>
      <c r="H272" s="313">
        <f t="shared" si="29"/>
        <v>555.96999999999991</v>
      </c>
      <c r="I272" s="61">
        <f t="shared" si="32"/>
        <v>78</v>
      </c>
      <c r="J272" s="118" t="s">
        <v>80</v>
      </c>
      <c r="K272" s="84">
        <v>60</v>
      </c>
      <c r="L272" s="85">
        <v>60</v>
      </c>
      <c r="M272" s="313">
        <f t="shared" si="30"/>
        <v>62.94</v>
      </c>
    </row>
    <row r="273" spans="1:14" ht="15" thickBot="1">
      <c r="A273">
        <f t="shared" si="31"/>
        <v>22</v>
      </c>
      <c r="B273" s="4" t="s">
        <v>705</v>
      </c>
      <c r="C273" s="32"/>
      <c r="D273" s="31"/>
      <c r="E273" s="31"/>
      <c r="F273" s="84">
        <v>150</v>
      </c>
      <c r="G273" s="85">
        <v>250</v>
      </c>
      <c r="H273" s="313">
        <f t="shared" si="29"/>
        <v>262.25</v>
      </c>
      <c r="I273" s="61">
        <f t="shared" si="32"/>
        <v>79</v>
      </c>
      <c r="J273" s="118" t="s">
        <v>82</v>
      </c>
      <c r="K273" s="84">
        <v>150</v>
      </c>
      <c r="L273" s="85">
        <v>160</v>
      </c>
      <c r="M273" s="313">
        <f t="shared" si="30"/>
        <v>167.83999999999997</v>
      </c>
    </row>
    <row r="274" spans="1:14" ht="15" thickBot="1">
      <c r="A274">
        <f t="shared" si="31"/>
        <v>23</v>
      </c>
      <c r="B274" s="4" t="s">
        <v>85</v>
      </c>
      <c r="C274" s="32"/>
      <c r="D274" s="31"/>
      <c r="E274" s="31"/>
      <c r="F274" s="84">
        <v>505</v>
      </c>
      <c r="G274" s="85">
        <v>705</v>
      </c>
      <c r="H274" s="313">
        <f t="shared" si="29"/>
        <v>739.54499999999996</v>
      </c>
      <c r="I274" s="61">
        <f t="shared" si="32"/>
        <v>80</v>
      </c>
      <c r="J274" s="118" t="s">
        <v>84</v>
      </c>
      <c r="K274" s="84">
        <v>75</v>
      </c>
      <c r="L274" s="85">
        <v>100</v>
      </c>
      <c r="M274" s="313">
        <f t="shared" si="30"/>
        <v>104.89999999999999</v>
      </c>
    </row>
    <row r="275" spans="1:14" ht="15" thickBot="1">
      <c r="A275">
        <f t="shared" si="31"/>
        <v>24</v>
      </c>
      <c r="B275" s="4" t="s">
        <v>87</v>
      </c>
      <c r="C275" s="31"/>
      <c r="D275" s="31"/>
      <c r="E275" s="31"/>
      <c r="F275" s="84">
        <v>530</v>
      </c>
      <c r="G275" s="85">
        <v>745</v>
      </c>
      <c r="H275" s="313">
        <f t="shared" si="29"/>
        <v>781.505</v>
      </c>
      <c r="I275" s="61">
        <f t="shared" si="32"/>
        <v>81</v>
      </c>
      <c r="J275" s="118" t="s">
        <v>86</v>
      </c>
      <c r="K275" s="84">
        <v>800</v>
      </c>
      <c r="L275" s="85">
        <v>1055</v>
      </c>
      <c r="M275" s="313">
        <f t="shared" si="30"/>
        <v>1106.6949999999999</v>
      </c>
    </row>
    <row r="276" spans="1:14" ht="15" thickBot="1">
      <c r="A276">
        <f t="shared" si="31"/>
        <v>25</v>
      </c>
      <c r="B276" s="4" t="s">
        <v>89</v>
      </c>
      <c r="C276" s="31"/>
      <c r="D276" s="31"/>
      <c r="E276" s="31"/>
      <c r="F276" s="84">
        <v>775</v>
      </c>
      <c r="G276" s="85">
        <v>1080</v>
      </c>
      <c r="H276" s="313">
        <f t="shared" si="29"/>
        <v>1132.9199999999998</v>
      </c>
      <c r="I276" s="61">
        <f t="shared" si="32"/>
        <v>82</v>
      </c>
      <c r="J276" s="118" t="s">
        <v>88</v>
      </c>
      <c r="K276" s="84">
        <v>625</v>
      </c>
      <c r="L276" s="85">
        <v>800</v>
      </c>
      <c r="M276" s="313">
        <f t="shared" si="30"/>
        <v>839.19999999999993</v>
      </c>
    </row>
    <row r="277" spans="1:14" ht="15" thickBot="1">
      <c r="A277">
        <f t="shared" si="31"/>
        <v>26</v>
      </c>
      <c r="B277" t="s">
        <v>91</v>
      </c>
      <c r="F277" s="84">
        <v>-100</v>
      </c>
      <c r="G277" s="85">
        <v>-100</v>
      </c>
      <c r="H277" s="313">
        <f t="shared" si="29"/>
        <v>-104.89999999999999</v>
      </c>
      <c r="I277" s="61">
        <f t="shared" si="32"/>
        <v>83</v>
      </c>
      <c r="J277" s="61" t="s">
        <v>90</v>
      </c>
      <c r="K277" s="84">
        <v>350</v>
      </c>
      <c r="L277" s="86" t="s">
        <v>209</v>
      </c>
      <c r="M277" s="313"/>
      <c r="N277" t="s">
        <v>217</v>
      </c>
    </row>
    <row r="278" spans="1:14" ht="15" thickBot="1">
      <c r="A278">
        <f t="shared" si="31"/>
        <v>27</v>
      </c>
      <c r="B278" t="s">
        <v>93</v>
      </c>
      <c r="F278" s="84">
        <v>-100</v>
      </c>
      <c r="G278" s="85">
        <v>-100</v>
      </c>
      <c r="H278" s="313">
        <f t="shared" si="29"/>
        <v>-104.89999999999999</v>
      </c>
      <c r="I278" s="61">
        <f t="shared" si="32"/>
        <v>84</v>
      </c>
      <c r="J278" s="118" t="s">
        <v>92</v>
      </c>
      <c r="K278" s="84" t="s">
        <v>32</v>
      </c>
      <c r="L278" s="86" t="s">
        <v>32</v>
      </c>
      <c r="M278" s="313"/>
    </row>
    <row r="279" spans="1:14" ht="15" thickBot="1">
      <c r="A279">
        <f t="shared" si="31"/>
        <v>28</v>
      </c>
      <c r="B279" t="s">
        <v>95</v>
      </c>
      <c r="F279" s="84">
        <v>1600</v>
      </c>
      <c r="G279" s="85">
        <v>1920</v>
      </c>
      <c r="H279" s="313">
        <f t="shared" si="29"/>
        <v>2014.08</v>
      </c>
      <c r="I279" s="61">
        <f t="shared" si="32"/>
        <v>85</v>
      </c>
      <c r="J279" s="61" t="s">
        <v>94</v>
      </c>
      <c r="K279" s="84">
        <v>165</v>
      </c>
      <c r="L279" s="85">
        <v>182</v>
      </c>
      <c r="M279" s="313">
        <f t="shared" si="30"/>
        <v>190.91799999999998</v>
      </c>
    </row>
    <row r="280" spans="1:14" ht="15" thickBot="1">
      <c r="A280">
        <f t="shared" si="31"/>
        <v>29</v>
      </c>
      <c r="B280" t="s">
        <v>97</v>
      </c>
      <c r="F280" s="84">
        <v>2880</v>
      </c>
      <c r="G280" s="85">
        <v>3600</v>
      </c>
      <c r="H280" s="313">
        <f t="shared" si="29"/>
        <v>3776.3999999999996</v>
      </c>
      <c r="I280" s="61">
        <f t="shared" si="32"/>
        <v>86</v>
      </c>
      <c r="J280" s="61" t="s">
        <v>96</v>
      </c>
      <c r="K280" s="84">
        <v>5830</v>
      </c>
      <c r="L280" s="126">
        <v>6500</v>
      </c>
      <c r="M280" s="313">
        <f t="shared" si="30"/>
        <v>6818.5</v>
      </c>
    </row>
    <row r="281" spans="1:14" ht="15" thickBot="1">
      <c r="A281">
        <f t="shared" si="31"/>
        <v>30</v>
      </c>
      <c r="B281" t="s">
        <v>99</v>
      </c>
      <c r="F281" s="84" t="s">
        <v>209</v>
      </c>
      <c r="G281" s="86" t="s">
        <v>209</v>
      </c>
      <c r="H281" s="313"/>
      <c r="I281" s="61">
        <f t="shared" si="32"/>
        <v>87</v>
      </c>
      <c r="J281" s="61" t="s">
        <v>302</v>
      </c>
      <c r="K281" s="84"/>
      <c r="L281" s="85"/>
      <c r="M281" s="313">
        <f t="shared" si="30"/>
        <v>0</v>
      </c>
    </row>
    <row r="282" spans="1:14" ht="15" thickBot="1">
      <c r="A282">
        <f t="shared" si="31"/>
        <v>31</v>
      </c>
      <c r="B282" t="s">
        <v>101</v>
      </c>
      <c r="F282" s="84" t="s">
        <v>209</v>
      </c>
      <c r="G282" s="86" t="s">
        <v>209</v>
      </c>
      <c r="H282" s="313"/>
      <c r="I282" s="61">
        <f>(I281+1)</f>
        <v>88</v>
      </c>
      <c r="J282" s="118" t="s">
        <v>100</v>
      </c>
      <c r="K282" s="84">
        <v>3005</v>
      </c>
      <c r="L282" s="85">
        <v>3155</v>
      </c>
      <c r="M282" s="313">
        <f t="shared" si="30"/>
        <v>3309.5949999999998</v>
      </c>
    </row>
    <row r="283" spans="1:14" ht="15" thickBot="1">
      <c r="A283">
        <f t="shared" si="31"/>
        <v>32</v>
      </c>
      <c r="B283" t="s">
        <v>103</v>
      </c>
      <c r="F283" s="84">
        <v>30</v>
      </c>
      <c r="G283" s="85">
        <v>30</v>
      </c>
      <c r="H283" s="313">
        <f t="shared" si="29"/>
        <v>31.47</v>
      </c>
      <c r="I283" s="61">
        <f t="shared" si="32"/>
        <v>89</v>
      </c>
      <c r="J283" s="118" t="s">
        <v>102</v>
      </c>
      <c r="K283" s="84">
        <v>6900</v>
      </c>
      <c r="L283" s="85">
        <v>7155</v>
      </c>
      <c r="M283" s="313">
        <f t="shared" si="30"/>
        <v>7505.5949999999993</v>
      </c>
    </row>
    <row r="284" spans="1:14" ht="15" thickBot="1">
      <c r="A284">
        <f t="shared" si="31"/>
        <v>33</v>
      </c>
      <c r="B284" t="s">
        <v>105</v>
      </c>
      <c r="F284" s="84">
        <v>30</v>
      </c>
      <c r="G284" s="85">
        <v>30</v>
      </c>
      <c r="H284" s="313">
        <f t="shared" si="29"/>
        <v>31.47</v>
      </c>
      <c r="I284" s="61">
        <f t="shared" si="32"/>
        <v>90</v>
      </c>
      <c r="J284" s="118" t="s">
        <v>104</v>
      </c>
      <c r="K284" s="84">
        <v>7700</v>
      </c>
      <c r="L284" s="85">
        <v>8800</v>
      </c>
      <c r="M284" s="313">
        <f t="shared" si="30"/>
        <v>9231.1999999999989</v>
      </c>
    </row>
    <row r="285" spans="1:14" ht="15" thickBot="1">
      <c r="A285">
        <f t="shared" si="31"/>
        <v>34</v>
      </c>
      <c r="B285" t="s">
        <v>107</v>
      </c>
      <c r="F285" s="84">
        <v>-10</v>
      </c>
      <c r="G285" s="85">
        <v>-10</v>
      </c>
      <c r="H285" s="313">
        <f t="shared" si="29"/>
        <v>-10.489999999999998</v>
      </c>
      <c r="I285" s="61">
        <f t="shared" si="32"/>
        <v>91</v>
      </c>
      <c r="J285" s="61" t="s">
        <v>106</v>
      </c>
      <c r="K285" s="84">
        <v>8080</v>
      </c>
      <c r="L285" s="127">
        <v>10100</v>
      </c>
      <c r="M285" s="313">
        <f t="shared" si="30"/>
        <v>10594.9</v>
      </c>
    </row>
    <row r="286" spans="1:14" ht="15" thickBot="1">
      <c r="A286">
        <f t="shared" si="31"/>
        <v>35</v>
      </c>
      <c r="B286" t="s">
        <v>109</v>
      </c>
      <c r="F286" s="84">
        <v>800</v>
      </c>
      <c r="G286" s="85">
        <v>800</v>
      </c>
      <c r="H286" s="313">
        <f t="shared" si="29"/>
        <v>839.19999999999993</v>
      </c>
      <c r="I286" s="61">
        <f t="shared" si="32"/>
        <v>92</v>
      </c>
      <c r="J286" s="118" t="s">
        <v>108</v>
      </c>
      <c r="K286" s="84" t="s">
        <v>57</v>
      </c>
      <c r="L286" s="128" t="s">
        <v>208</v>
      </c>
      <c r="M286" s="313"/>
    </row>
    <row r="287" spans="1:14" ht="15" thickBot="1">
      <c r="A287">
        <f t="shared" si="31"/>
        <v>36</v>
      </c>
      <c r="B287" t="s">
        <v>111</v>
      </c>
      <c r="F287" s="84">
        <v>1100</v>
      </c>
      <c r="G287" s="86" t="s">
        <v>209</v>
      </c>
      <c r="H287" s="313"/>
      <c r="I287" s="61">
        <f t="shared" si="32"/>
        <v>93</v>
      </c>
      <c r="J287" s="118" t="s">
        <v>110</v>
      </c>
      <c r="K287" s="84">
        <v>1025</v>
      </c>
      <c r="L287" s="127">
        <v>875</v>
      </c>
      <c r="M287" s="313">
        <f t="shared" si="30"/>
        <v>917.87499999999989</v>
      </c>
    </row>
    <row r="288" spans="1:14" ht="15" thickBot="1">
      <c r="A288">
        <f t="shared" si="31"/>
        <v>37</v>
      </c>
      <c r="B288" s="4" t="s">
        <v>113</v>
      </c>
      <c r="F288" s="84">
        <v>350</v>
      </c>
      <c r="G288" s="87">
        <v>300</v>
      </c>
      <c r="H288" s="313">
        <f t="shared" si="29"/>
        <v>314.7</v>
      </c>
      <c r="I288" s="61">
        <f t="shared" si="32"/>
        <v>94</v>
      </c>
      <c r="J288" s="118" t="s">
        <v>112</v>
      </c>
      <c r="K288" s="84" t="s">
        <v>209</v>
      </c>
      <c r="L288" s="128" t="s">
        <v>209</v>
      </c>
      <c r="M288" s="313"/>
    </row>
    <row r="289" spans="1:14" ht="15" thickBot="1">
      <c r="A289">
        <f t="shared" si="31"/>
        <v>38</v>
      </c>
      <c r="B289" s="4" t="s">
        <v>115</v>
      </c>
      <c r="F289" s="84" t="s">
        <v>209</v>
      </c>
      <c r="G289" s="86" t="s">
        <v>209</v>
      </c>
      <c r="H289" s="313"/>
      <c r="I289" s="61">
        <f t="shared" si="32"/>
        <v>95</v>
      </c>
      <c r="J289" s="61" t="s">
        <v>114</v>
      </c>
      <c r="K289" s="84">
        <v>4520</v>
      </c>
      <c r="L289" s="85">
        <v>5275</v>
      </c>
      <c r="M289" s="313">
        <f t="shared" si="30"/>
        <v>5533.4749999999995</v>
      </c>
    </row>
    <row r="290" spans="1:14" ht="15" thickBot="1">
      <c r="A290">
        <f t="shared" si="31"/>
        <v>39</v>
      </c>
      <c r="B290" s="4" t="s">
        <v>303</v>
      </c>
      <c r="F290" s="84">
        <v>0</v>
      </c>
      <c r="G290" s="85">
        <v>0</v>
      </c>
      <c r="H290" s="313">
        <f t="shared" si="29"/>
        <v>0</v>
      </c>
      <c r="I290" s="61">
        <f t="shared" si="32"/>
        <v>96</v>
      </c>
      <c r="J290" s="61" t="s">
        <v>116</v>
      </c>
      <c r="K290" s="84">
        <v>6875</v>
      </c>
      <c r="L290" s="85">
        <v>7370</v>
      </c>
      <c r="M290" s="313">
        <f t="shared" si="30"/>
        <v>7731.1299999999992</v>
      </c>
    </row>
    <row r="291" spans="1:14" ht="15" thickBot="1">
      <c r="A291">
        <f t="shared" si="31"/>
        <v>40</v>
      </c>
      <c r="B291" t="s">
        <v>119</v>
      </c>
      <c r="F291" s="84">
        <v>250</v>
      </c>
      <c r="G291" s="85">
        <v>400</v>
      </c>
      <c r="H291" s="313">
        <f t="shared" si="29"/>
        <v>419.59999999999997</v>
      </c>
      <c r="I291" s="61">
        <f t="shared" si="32"/>
        <v>97</v>
      </c>
      <c r="J291" s="61" t="s">
        <v>118</v>
      </c>
      <c r="K291" s="84">
        <v>9500</v>
      </c>
      <c r="L291" s="85">
        <v>10055</v>
      </c>
      <c r="M291" s="313">
        <f t="shared" si="30"/>
        <v>10547.695</v>
      </c>
    </row>
    <row r="292" spans="1:14" ht="15" thickBot="1">
      <c r="A292">
        <f t="shared" si="31"/>
        <v>41</v>
      </c>
      <c r="B292" t="s">
        <v>121</v>
      </c>
      <c r="F292" s="84">
        <v>40</v>
      </c>
      <c r="G292" s="85">
        <v>50</v>
      </c>
      <c r="H292" s="313">
        <f t="shared" si="29"/>
        <v>52.449999999999996</v>
      </c>
      <c r="I292" s="61">
        <f t="shared" si="32"/>
        <v>98</v>
      </c>
      <c r="J292" s="61" t="s">
        <v>120</v>
      </c>
      <c r="K292" s="84">
        <v>500</v>
      </c>
      <c r="L292" s="85">
        <v>500</v>
      </c>
      <c r="M292" s="313">
        <f t="shared" si="30"/>
        <v>524.5</v>
      </c>
      <c r="N292" t="s">
        <v>221</v>
      </c>
    </row>
    <row r="293" spans="1:14" ht="15" thickBot="1">
      <c r="A293">
        <f t="shared" si="31"/>
        <v>42</v>
      </c>
      <c r="B293" t="s">
        <v>123</v>
      </c>
      <c r="F293" s="84">
        <v>80</v>
      </c>
      <c r="G293" s="85">
        <v>170</v>
      </c>
      <c r="H293" s="313">
        <f t="shared" si="29"/>
        <v>178.32999999999998</v>
      </c>
      <c r="I293" s="61">
        <f t="shared" si="32"/>
        <v>99</v>
      </c>
      <c r="J293" s="61" t="s">
        <v>122</v>
      </c>
      <c r="K293" s="84">
        <v>3665</v>
      </c>
      <c r="L293" s="85">
        <v>3665</v>
      </c>
      <c r="M293" s="313">
        <f t="shared" si="30"/>
        <v>3844.5849999999996</v>
      </c>
    </row>
    <row r="294" spans="1:14" ht="15" thickBot="1">
      <c r="A294">
        <f t="shared" si="31"/>
        <v>43</v>
      </c>
      <c r="B294" t="s">
        <v>125</v>
      </c>
      <c r="F294" s="84">
        <v>395</v>
      </c>
      <c r="G294" s="85">
        <v>460</v>
      </c>
      <c r="H294" s="313">
        <f t="shared" si="29"/>
        <v>482.53999999999996</v>
      </c>
      <c r="I294" s="61">
        <f t="shared" si="32"/>
        <v>100</v>
      </c>
      <c r="J294" s="61" t="s">
        <v>124</v>
      </c>
      <c r="K294" s="84">
        <v>4200</v>
      </c>
      <c r="L294" s="85">
        <v>5265</v>
      </c>
      <c r="M294" s="313">
        <f t="shared" si="30"/>
        <v>5522.9849999999997</v>
      </c>
    </row>
    <row r="295" spans="1:14" ht="15" thickBot="1">
      <c r="A295">
        <f t="shared" si="31"/>
        <v>44</v>
      </c>
      <c r="B295" t="s">
        <v>127</v>
      </c>
      <c r="F295" s="84">
        <v>160</v>
      </c>
      <c r="G295" s="85">
        <v>200</v>
      </c>
      <c r="H295" s="313">
        <f t="shared" si="29"/>
        <v>209.79999999999998</v>
      </c>
      <c r="I295" s="61">
        <f t="shared" si="32"/>
        <v>101</v>
      </c>
      <c r="J295" s="61" t="s">
        <v>126</v>
      </c>
      <c r="K295" s="84">
        <v>5450</v>
      </c>
      <c r="L295" s="85">
        <v>5725</v>
      </c>
      <c r="M295" s="313">
        <f t="shared" si="30"/>
        <v>6005.5249999999996</v>
      </c>
    </row>
    <row r="296" spans="1:14" ht="15" thickBot="1">
      <c r="A296">
        <f t="shared" si="31"/>
        <v>45</v>
      </c>
      <c r="B296" s="4" t="s">
        <v>129</v>
      </c>
      <c r="F296" s="84">
        <v>4360</v>
      </c>
      <c r="G296" s="87">
        <v>4760</v>
      </c>
      <c r="H296" s="313">
        <f t="shared" si="29"/>
        <v>4993.24</v>
      </c>
      <c r="I296" s="61">
        <f t="shared" si="32"/>
        <v>102</v>
      </c>
      <c r="J296" s="61" t="s">
        <v>128</v>
      </c>
      <c r="K296" s="84">
        <v>6000</v>
      </c>
      <c r="L296" s="85">
        <v>5985</v>
      </c>
      <c r="M296" s="313">
        <f t="shared" si="30"/>
        <v>6278.2649999999994</v>
      </c>
    </row>
    <row r="297" spans="1:14" ht="15" thickBot="1">
      <c r="A297">
        <f t="shared" si="31"/>
        <v>46</v>
      </c>
      <c r="B297" s="4" t="s">
        <v>131</v>
      </c>
      <c r="F297" s="84">
        <v>2740</v>
      </c>
      <c r="G297" s="87">
        <v>2740</v>
      </c>
      <c r="H297" s="313">
        <f t="shared" si="29"/>
        <v>2874.2599999999998</v>
      </c>
      <c r="I297" s="61">
        <f t="shared" si="32"/>
        <v>103</v>
      </c>
      <c r="J297" s="118" t="s">
        <v>130</v>
      </c>
      <c r="K297" s="84">
        <v>3525</v>
      </c>
      <c r="L297" s="85">
        <v>3650</v>
      </c>
      <c r="M297" s="313">
        <f t="shared" si="30"/>
        <v>3828.85</v>
      </c>
    </row>
    <row r="298" spans="1:14" ht="15" thickBot="1">
      <c r="A298">
        <f t="shared" si="31"/>
        <v>47</v>
      </c>
      <c r="B298" s="4" t="s">
        <v>133</v>
      </c>
      <c r="F298" s="84">
        <v>4040</v>
      </c>
      <c r="G298" s="87">
        <v>4700</v>
      </c>
      <c r="H298" s="313">
        <f t="shared" si="29"/>
        <v>4930.2999999999993</v>
      </c>
      <c r="I298" s="61">
        <f t="shared" si="32"/>
        <v>104</v>
      </c>
      <c r="J298" s="118" t="s">
        <v>134</v>
      </c>
      <c r="K298" s="84">
        <v>1500</v>
      </c>
      <c r="L298" s="85">
        <v>1750</v>
      </c>
      <c r="M298" s="313">
        <f t="shared" si="30"/>
        <v>1835.7499999999998</v>
      </c>
    </row>
    <row r="299" spans="1:14" ht="15" thickBot="1">
      <c r="A299">
        <f t="shared" si="31"/>
        <v>48</v>
      </c>
      <c r="B299" s="4" t="s">
        <v>135</v>
      </c>
      <c r="F299" s="84">
        <v>4415</v>
      </c>
      <c r="G299" s="87">
        <v>4800</v>
      </c>
      <c r="H299" s="313">
        <f t="shared" si="29"/>
        <v>5035.2</v>
      </c>
      <c r="I299" s="61">
        <f t="shared" si="32"/>
        <v>105</v>
      </c>
      <c r="J299" s="118" t="s">
        <v>132</v>
      </c>
      <c r="K299" s="84">
        <v>4185</v>
      </c>
      <c r="L299" s="85">
        <v>5482</v>
      </c>
      <c r="M299" s="313">
        <f t="shared" si="30"/>
        <v>5750.6179999999995</v>
      </c>
    </row>
    <row r="300" spans="1:14" ht="15" thickBot="1">
      <c r="A300">
        <f t="shared" si="31"/>
        <v>49</v>
      </c>
      <c r="B300" s="4" t="s">
        <v>137</v>
      </c>
      <c r="F300" s="84">
        <v>675</v>
      </c>
      <c r="G300" s="86" t="s">
        <v>699</v>
      </c>
      <c r="H300" s="313"/>
      <c r="I300" s="61">
        <f t="shared" si="32"/>
        <v>106</v>
      </c>
      <c r="J300" s="118" t="s">
        <v>136</v>
      </c>
      <c r="K300" s="84">
        <v>750</v>
      </c>
      <c r="L300" s="85">
        <v>1000</v>
      </c>
      <c r="M300" s="313">
        <f t="shared" si="30"/>
        <v>1049</v>
      </c>
    </row>
    <row r="301" spans="1:14" ht="15" thickBot="1">
      <c r="A301">
        <f t="shared" si="31"/>
        <v>50</v>
      </c>
      <c r="B301" s="4" t="s">
        <v>290</v>
      </c>
      <c r="F301" s="84">
        <v>1380</v>
      </c>
      <c r="G301" s="87">
        <v>3850</v>
      </c>
      <c r="H301" s="313">
        <f t="shared" si="29"/>
        <v>4038.6499999999996</v>
      </c>
      <c r="I301" s="61">
        <f t="shared" si="32"/>
        <v>107</v>
      </c>
      <c r="J301" s="61" t="s">
        <v>138</v>
      </c>
      <c r="K301" s="84">
        <v>5530</v>
      </c>
      <c r="L301" s="85">
        <v>6040</v>
      </c>
      <c r="M301" s="313">
        <f t="shared" si="30"/>
        <v>6335.96</v>
      </c>
    </row>
    <row r="302" spans="1:14" ht="15" thickBot="1">
      <c r="A302">
        <f t="shared" si="31"/>
        <v>51</v>
      </c>
      <c r="B302" s="4" t="s">
        <v>291</v>
      </c>
      <c r="F302" s="84">
        <v>7540</v>
      </c>
      <c r="G302" s="87">
        <v>8820</v>
      </c>
      <c r="H302" s="313">
        <f t="shared" si="29"/>
        <v>9252.18</v>
      </c>
      <c r="I302" s="61">
        <f t="shared" si="32"/>
        <v>108</v>
      </c>
      <c r="J302" s="61" t="s">
        <v>140</v>
      </c>
      <c r="K302" s="84">
        <v>1940</v>
      </c>
      <c r="L302" s="85">
        <v>2200</v>
      </c>
      <c r="M302" s="313">
        <f t="shared" si="30"/>
        <v>2307.7999999999997</v>
      </c>
    </row>
    <row r="303" spans="1:14" ht="15" thickBot="1">
      <c r="A303">
        <f t="shared" si="31"/>
        <v>52</v>
      </c>
      <c r="B303" s="4" t="s">
        <v>141</v>
      </c>
      <c r="F303" s="84">
        <v>2055</v>
      </c>
      <c r="G303" s="87">
        <v>2325</v>
      </c>
      <c r="H303" s="313">
        <f t="shared" si="29"/>
        <v>2438.9249999999997</v>
      </c>
      <c r="I303" s="61">
        <f t="shared" si="32"/>
        <v>109</v>
      </c>
      <c r="J303" s="61" t="s">
        <v>142</v>
      </c>
      <c r="K303" s="84" t="s">
        <v>209</v>
      </c>
      <c r="L303" s="86" t="s">
        <v>209</v>
      </c>
      <c r="M303" s="313"/>
    </row>
    <row r="304" spans="1:14" ht="15" thickBot="1">
      <c r="A304">
        <f t="shared" si="31"/>
        <v>53</v>
      </c>
      <c r="B304" s="4" t="s">
        <v>147</v>
      </c>
      <c r="C304" s="34"/>
      <c r="D304" s="34"/>
      <c r="E304" s="34"/>
      <c r="F304" s="84">
        <v>7505</v>
      </c>
      <c r="G304" s="87">
        <v>7900</v>
      </c>
      <c r="H304" s="313">
        <f t="shared" si="29"/>
        <v>8287.1</v>
      </c>
      <c r="I304" s="61">
        <f t="shared" si="32"/>
        <v>110</v>
      </c>
      <c r="J304" s="118" t="s">
        <v>144</v>
      </c>
      <c r="K304" s="84">
        <v>4345</v>
      </c>
      <c r="L304" s="85">
        <v>5240</v>
      </c>
      <c r="M304" s="313">
        <f t="shared" si="30"/>
        <v>5496.7599999999993</v>
      </c>
    </row>
    <row r="305" spans="1:14" ht="15" thickBot="1">
      <c r="A305">
        <f t="shared" si="31"/>
        <v>54</v>
      </c>
      <c r="B305" s="4" t="s">
        <v>292</v>
      </c>
      <c r="C305" s="34"/>
      <c r="D305" s="34"/>
      <c r="E305" s="34"/>
      <c r="F305" s="84">
        <v>25325</v>
      </c>
      <c r="G305" s="87">
        <v>26680</v>
      </c>
      <c r="H305" s="313">
        <f t="shared" si="29"/>
        <v>27987.32</v>
      </c>
      <c r="I305" s="61">
        <f t="shared" si="32"/>
        <v>111</v>
      </c>
      <c r="J305" s="129" t="s">
        <v>146</v>
      </c>
      <c r="K305" s="84">
        <v>6600</v>
      </c>
      <c r="L305" s="85">
        <v>9445</v>
      </c>
      <c r="M305" s="313">
        <f t="shared" si="30"/>
        <v>9907.8049999999985</v>
      </c>
      <c r="N305" t="s">
        <v>702</v>
      </c>
    </row>
    <row r="306" spans="1:14" ht="15" thickBot="1">
      <c r="A306">
        <f t="shared" si="31"/>
        <v>55</v>
      </c>
      <c r="B306" s="4" t="s">
        <v>153</v>
      </c>
      <c r="C306" s="34"/>
      <c r="D306" s="34"/>
      <c r="E306" s="34"/>
      <c r="F306" s="84">
        <v>0</v>
      </c>
      <c r="G306" s="126" t="s">
        <v>32</v>
      </c>
      <c r="H306" s="313"/>
      <c r="I306" s="61">
        <f t="shared" si="32"/>
        <v>112</v>
      </c>
      <c r="J306" s="118" t="s">
        <v>148</v>
      </c>
      <c r="K306" s="84">
        <v>1620</v>
      </c>
      <c r="L306" s="86">
        <v>1750</v>
      </c>
      <c r="M306" s="313">
        <f t="shared" si="30"/>
        <v>1835.7499999999998</v>
      </c>
    </row>
    <row r="307" spans="1:14" ht="15" thickBot="1">
      <c r="A307">
        <f t="shared" si="31"/>
        <v>56</v>
      </c>
      <c r="B307" s="4" t="s">
        <v>293</v>
      </c>
      <c r="F307" s="84">
        <v>1465</v>
      </c>
      <c r="G307" s="126" t="s">
        <v>32</v>
      </c>
      <c r="H307" s="313"/>
      <c r="I307" s="61">
        <f t="shared" si="32"/>
        <v>113</v>
      </c>
      <c r="J307" s="61" t="s">
        <v>150</v>
      </c>
      <c r="K307" s="84">
        <v>605</v>
      </c>
      <c r="L307" s="127">
        <v>800</v>
      </c>
      <c r="M307" s="313">
        <f t="shared" si="30"/>
        <v>839.19999999999993</v>
      </c>
    </row>
    <row r="308" spans="1:14" ht="15" thickBot="1">
      <c r="A308">
        <f t="shared" si="31"/>
        <v>57</v>
      </c>
      <c r="B308" s="4" t="s">
        <v>294</v>
      </c>
      <c r="F308" s="84">
        <v>3390</v>
      </c>
      <c r="G308" s="126" t="s">
        <v>32</v>
      </c>
      <c r="H308" s="313"/>
      <c r="I308" s="61">
        <f t="shared" si="32"/>
        <v>114</v>
      </c>
      <c r="J308" s="61" t="s">
        <v>152</v>
      </c>
      <c r="K308" s="84">
        <v>605</v>
      </c>
      <c r="L308" s="127">
        <v>800</v>
      </c>
      <c r="M308" s="313">
        <f t="shared" si="30"/>
        <v>839.19999999999993</v>
      </c>
    </row>
    <row r="309" spans="1:14" ht="15" thickBot="1">
      <c r="B309" s="4"/>
      <c r="F309" s="130"/>
      <c r="G309" s="61"/>
      <c r="H309" s="61"/>
      <c r="I309" s="61">
        <f t="shared" si="32"/>
        <v>115</v>
      </c>
      <c r="J309" s="61" t="s">
        <v>154</v>
      </c>
      <c r="K309" s="84">
        <v>880</v>
      </c>
      <c r="L309" s="127">
        <v>1150</v>
      </c>
      <c r="M309" s="313">
        <f t="shared" si="30"/>
        <v>1206.3499999999999</v>
      </c>
    </row>
    <row r="310" spans="1:14" ht="15" thickBot="1">
      <c r="B310" s="4"/>
      <c r="F310" s="61"/>
      <c r="G310" s="61"/>
      <c r="H310" s="61"/>
      <c r="I310" s="61">
        <f t="shared" si="32"/>
        <v>116</v>
      </c>
      <c r="J310" s="61" t="s">
        <v>156</v>
      </c>
      <c r="K310" s="84">
        <v>605</v>
      </c>
      <c r="L310" s="127">
        <v>800</v>
      </c>
      <c r="M310" s="313">
        <f t="shared" si="30"/>
        <v>839.19999999999993</v>
      </c>
    </row>
    <row r="311" spans="1:14" ht="15" thickBot="1">
      <c r="B311" s="4"/>
      <c r="F311" s="61"/>
      <c r="G311" s="61"/>
      <c r="H311" s="61"/>
      <c r="I311" s="61">
        <f t="shared" si="32"/>
        <v>117</v>
      </c>
      <c r="J311" s="61" t="s">
        <v>157</v>
      </c>
      <c r="K311" s="84">
        <v>880</v>
      </c>
      <c r="L311" s="127">
        <v>1150</v>
      </c>
      <c r="M311" s="313">
        <f t="shared" si="30"/>
        <v>1206.3499999999999</v>
      </c>
    </row>
    <row r="312" spans="1:14" ht="15" thickBot="1">
      <c r="B312" s="4"/>
      <c r="C312" s="4"/>
      <c r="D312" s="4"/>
      <c r="E312" s="4"/>
      <c r="F312" s="118"/>
      <c r="G312" s="118"/>
      <c r="H312" s="118"/>
      <c r="I312" s="61">
        <f t="shared" si="32"/>
        <v>118</v>
      </c>
      <c r="J312" s="61" t="s">
        <v>158</v>
      </c>
      <c r="K312" s="84">
        <v>1560</v>
      </c>
      <c r="L312" s="85">
        <v>2000</v>
      </c>
      <c r="M312" s="313">
        <f t="shared" si="30"/>
        <v>2098</v>
      </c>
      <c r="N312" t="s">
        <v>289</v>
      </c>
    </row>
    <row r="313" spans="1:14" ht="15" thickBot="1">
      <c r="B313" s="4"/>
      <c r="C313" s="4"/>
      <c r="D313" s="4"/>
      <c r="E313" s="4"/>
      <c r="F313" s="118"/>
      <c r="G313" s="118"/>
      <c r="H313" s="118"/>
      <c r="I313" s="61">
        <f t="shared" si="32"/>
        <v>119</v>
      </c>
      <c r="J313" s="61" t="s">
        <v>160</v>
      </c>
      <c r="K313" s="84">
        <v>1710</v>
      </c>
      <c r="L313" s="85">
        <v>2200</v>
      </c>
      <c r="M313" s="313">
        <f t="shared" si="30"/>
        <v>2307.7999999999997</v>
      </c>
    </row>
    <row r="314" spans="1:14" ht="15" thickBot="1">
      <c r="B314" s="4"/>
      <c r="C314" s="4"/>
      <c r="D314" s="4"/>
      <c r="E314" s="4"/>
      <c r="F314" s="118"/>
      <c r="G314" s="118"/>
      <c r="H314" s="118"/>
      <c r="I314" s="61">
        <f t="shared" si="32"/>
        <v>120</v>
      </c>
      <c r="J314" s="61" t="s">
        <v>161</v>
      </c>
      <c r="K314" s="84">
        <v>1895</v>
      </c>
      <c r="L314" s="85">
        <v>2400</v>
      </c>
      <c r="M314" s="313">
        <f t="shared" si="30"/>
        <v>2517.6</v>
      </c>
    </row>
    <row r="315" spans="1:14" ht="15" thickBot="1">
      <c r="B315" s="4"/>
      <c r="C315" s="4"/>
      <c r="D315" s="4"/>
      <c r="E315" s="4"/>
      <c r="F315" s="118"/>
      <c r="G315" s="118"/>
      <c r="H315" s="118"/>
      <c r="I315" s="61">
        <f t="shared" si="32"/>
        <v>121</v>
      </c>
      <c r="J315" s="61" t="s">
        <v>162</v>
      </c>
      <c r="K315" s="84">
        <v>1940</v>
      </c>
      <c r="L315" s="85">
        <v>2500</v>
      </c>
      <c r="M315" s="313">
        <f t="shared" si="30"/>
        <v>2622.5</v>
      </c>
    </row>
    <row r="316" spans="1:14" ht="15" thickBot="1">
      <c r="B316" s="4"/>
      <c r="C316" s="4"/>
      <c r="D316" s="4"/>
      <c r="E316" s="4"/>
      <c r="F316" s="118"/>
      <c r="G316" s="118"/>
      <c r="H316" s="118"/>
      <c r="I316" s="61">
        <v>122</v>
      </c>
      <c r="J316" s="61" t="s">
        <v>222</v>
      </c>
      <c r="K316" s="84">
        <v>125</v>
      </c>
      <c r="L316" s="128" t="s">
        <v>209</v>
      </c>
      <c r="M316" s="313"/>
    </row>
    <row r="317" spans="1:14" ht="15" thickBot="1">
      <c r="B317" s="4"/>
      <c r="C317" s="4"/>
      <c r="D317" s="4"/>
      <c r="E317" s="4"/>
      <c r="F317" s="118"/>
      <c r="G317" s="118"/>
      <c r="H317" s="118"/>
      <c r="I317" s="61">
        <f>I316+1</f>
        <v>123</v>
      </c>
      <c r="J317" s="61" t="s">
        <v>166</v>
      </c>
      <c r="K317" s="84">
        <v>370</v>
      </c>
      <c r="L317" s="127">
        <v>495</v>
      </c>
      <c r="M317" s="313">
        <f t="shared" ref="M317:M326" si="33">L317*1.049</f>
        <v>519.255</v>
      </c>
    </row>
    <row r="318" spans="1:14" ht="15" thickBot="1">
      <c r="B318" s="4"/>
      <c r="C318" s="4"/>
      <c r="D318" s="4"/>
      <c r="E318" s="4"/>
      <c r="F318" s="118"/>
      <c r="G318" s="118"/>
      <c r="H318" s="118"/>
      <c r="I318" s="61">
        <f t="shared" ref="I318:I328" si="34">I317+1</f>
        <v>124</v>
      </c>
      <c r="J318" s="61" t="s">
        <v>270</v>
      </c>
      <c r="K318" s="84">
        <v>1970</v>
      </c>
      <c r="L318" s="128" t="s">
        <v>209</v>
      </c>
      <c r="M318" s="313"/>
    </row>
    <row r="319" spans="1:14" ht="15" thickBot="1">
      <c r="B319" s="4"/>
      <c r="C319" s="4"/>
      <c r="D319" s="4"/>
      <c r="E319" s="4"/>
      <c r="F319" s="118"/>
      <c r="G319" s="118"/>
      <c r="H319" s="118"/>
      <c r="I319" s="61">
        <f t="shared" si="34"/>
        <v>125</v>
      </c>
      <c r="J319" s="61" t="s">
        <v>272</v>
      </c>
      <c r="K319" s="84">
        <v>75</v>
      </c>
      <c r="L319" s="127">
        <v>70</v>
      </c>
      <c r="M319" s="313">
        <f t="shared" si="33"/>
        <v>73.429999999999993</v>
      </c>
    </row>
    <row r="320" spans="1:14" ht="15" thickBot="1">
      <c r="B320" s="4"/>
      <c r="C320" s="4"/>
      <c r="D320" s="4"/>
      <c r="E320" s="4"/>
      <c r="F320" s="118"/>
      <c r="G320" s="118"/>
      <c r="H320" s="118"/>
      <c r="I320" s="61">
        <f t="shared" si="34"/>
        <v>126</v>
      </c>
      <c r="J320" s="61" t="s">
        <v>273</v>
      </c>
      <c r="K320" s="84" t="s">
        <v>32</v>
      </c>
      <c r="L320" s="128" t="s">
        <v>32</v>
      </c>
      <c r="M320" s="313"/>
    </row>
    <row r="321" spans="1:14" ht="15" thickBot="1">
      <c r="B321" s="4"/>
      <c r="C321" s="4"/>
      <c r="D321" s="4"/>
      <c r="E321" s="4"/>
      <c r="F321" s="118"/>
      <c r="G321" s="118"/>
      <c r="H321" s="118"/>
      <c r="I321" s="61">
        <f t="shared" si="34"/>
        <v>127</v>
      </c>
      <c r="J321" s="61" t="s">
        <v>274</v>
      </c>
      <c r="K321" s="84" t="s">
        <v>32</v>
      </c>
      <c r="L321" s="128" t="s">
        <v>32</v>
      </c>
      <c r="M321" s="313"/>
    </row>
    <row r="322" spans="1:14" ht="15" thickBot="1">
      <c r="B322" s="4"/>
      <c r="C322" s="4"/>
      <c r="D322" s="4"/>
      <c r="E322" s="4"/>
      <c r="F322" s="118"/>
      <c r="G322" s="118"/>
      <c r="H322" s="118"/>
      <c r="I322" s="61">
        <f t="shared" si="34"/>
        <v>128</v>
      </c>
      <c r="J322" s="61" t="s">
        <v>275</v>
      </c>
      <c r="K322" s="84" t="s">
        <v>32</v>
      </c>
      <c r="L322" s="128" t="s">
        <v>32</v>
      </c>
      <c r="M322" s="313"/>
    </row>
    <row r="323" spans="1:14" ht="15" thickBot="1">
      <c r="B323" s="4"/>
      <c r="C323" s="4"/>
      <c r="D323" s="4"/>
      <c r="E323" s="4"/>
      <c r="F323" s="118"/>
      <c r="G323" s="118"/>
      <c r="H323" s="118"/>
      <c r="I323" s="61">
        <f t="shared" si="34"/>
        <v>129</v>
      </c>
      <c r="J323" s="61" t="s">
        <v>277</v>
      </c>
      <c r="K323" s="84" t="s">
        <v>209</v>
      </c>
      <c r="L323" s="86" t="s">
        <v>209</v>
      </c>
      <c r="M323" s="313"/>
    </row>
    <row r="324" spans="1:14" ht="15" thickBot="1">
      <c r="F324" s="61"/>
      <c r="G324" s="61"/>
      <c r="H324" s="61"/>
      <c r="I324" s="61">
        <f t="shared" si="34"/>
        <v>130</v>
      </c>
      <c r="J324" s="61" t="s">
        <v>280</v>
      </c>
      <c r="K324" s="84" t="s">
        <v>209</v>
      </c>
      <c r="L324" s="86" t="s">
        <v>209</v>
      </c>
      <c r="M324" s="313"/>
    </row>
    <row r="325" spans="1:14" ht="15" thickBot="1">
      <c r="F325" s="61"/>
      <c r="G325" s="61"/>
      <c r="H325" s="61"/>
      <c r="I325" s="61">
        <f t="shared" si="34"/>
        <v>131</v>
      </c>
      <c r="J325" s="61" t="s">
        <v>299</v>
      </c>
      <c r="K325" s="84">
        <v>10970</v>
      </c>
      <c r="L325" s="128" t="s">
        <v>209</v>
      </c>
      <c r="M325" s="313"/>
    </row>
    <row r="326" spans="1:14" ht="15" thickBot="1">
      <c r="F326" s="61"/>
      <c r="G326" s="61"/>
      <c r="H326" s="61"/>
      <c r="I326" s="61">
        <f t="shared" si="34"/>
        <v>132</v>
      </c>
      <c r="J326" s="118" t="s">
        <v>136</v>
      </c>
      <c r="K326" s="84">
        <v>1650</v>
      </c>
      <c r="L326" s="131">
        <v>805</v>
      </c>
      <c r="M326" s="313">
        <f t="shared" si="33"/>
        <v>844.44499999999994</v>
      </c>
    </row>
    <row r="327" spans="1:14" ht="15" thickBot="1">
      <c r="F327" s="61"/>
      <c r="G327" s="61"/>
      <c r="H327" s="61"/>
      <c r="I327" s="61">
        <f t="shared" si="34"/>
        <v>133</v>
      </c>
      <c r="J327" s="61" t="s">
        <v>300</v>
      </c>
      <c r="K327" s="84">
        <v>4950</v>
      </c>
      <c r="L327" s="128" t="s">
        <v>209</v>
      </c>
      <c r="M327" s="313"/>
    </row>
    <row r="328" spans="1:14" ht="15" thickBot="1">
      <c r="F328" s="61"/>
      <c r="G328" s="61"/>
      <c r="H328" s="61"/>
      <c r="I328" s="61">
        <f t="shared" si="34"/>
        <v>134</v>
      </c>
      <c r="J328" s="61" t="s">
        <v>301</v>
      </c>
      <c r="K328" s="84">
        <v>2700</v>
      </c>
      <c r="L328" s="128" t="s">
        <v>209</v>
      </c>
      <c r="M328" s="313"/>
    </row>
    <row r="329" spans="1:14">
      <c r="F329" s="61"/>
      <c r="G329" s="61"/>
      <c r="H329" s="61"/>
      <c r="I329" s="61"/>
      <c r="J329" s="61"/>
      <c r="K329" s="61"/>
      <c r="L329" s="61"/>
    </row>
    <row r="330" spans="1:14">
      <c r="F330" s="61"/>
      <c r="G330" s="61"/>
      <c r="H330" s="61"/>
      <c r="I330" s="61"/>
      <c r="J330" s="61"/>
      <c r="K330" s="61"/>
      <c r="L330" s="61"/>
    </row>
    <row r="331" spans="1:14">
      <c r="A331" s="1" t="s">
        <v>203</v>
      </c>
      <c r="F331" s="61"/>
      <c r="G331" s="61"/>
      <c r="H331" s="61"/>
      <c r="I331" s="61"/>
      <c r="J331" s="61"/>
      <c r="K331" s="61"/>
      <c r="L331" s="61"/>
    </row>
    <row r="332" spans="1:14">
      <c r="F332" s="61"/>
      <c r="G332" s="61"/>
      <c r="H332" s="61"/>
      <c r="I332" s="61"/>
      <c r="J332" s="61"/>
      <c r="K332" s="61"/>
      <c r="L332" s="61"/>
    </row>
    <row r="333" spans="1:14" ht="15" thickBot="1">
      <c r="A333" s="1" t="s">
        <v>1</v>
      </c>
      <c r="C333" s="2" t="s">
        <v>174</v>
      </c>
      <c r="D333" s="13"/>
      <c r="E333" s="1"/>
      <c r="F333" s="1" t="s">
        <v>756</v>
      </c>
      <c r="G333" s="61"/>
      <c r="H333" s="61"/>
      <c r="I333" s="61"/>
      <c r="J333" s="65"/>
      <c r="K333" s="61"/>
      <c r="L333" s="61"/>
      <c r="N333" s="15"/>
    </row>
    <row r="334" spans="1:14">
      <c r="D334" s="14"/>
      <c r="F334" s="61"/>
      <c r="G334" s="61"/>
      <c r="H334" s="61"/>
      <c r="I334" s="61"/>
      <c r="J334" s="65"/>
      <c r="K334" s="61"/>
      <c r="L334" s="61"/>
      <c r="N334" s="15"/>
    </row>
    <row r="335" spans="1:14" ht="15" thickBot="1">
      <c r="A335" s="1" t="s">
        <v>2</v>
      </c>
      <c r="C335" s="2" t="s">
        <v>305</v>
      </c>
      <c r="D335" s="13"/>
      <c r="E335" s="1"/>
      <c r="F335" s="61"/>
      <c r="G335" s="61"/>
      <c r="H335" s="61"/>
      <c r="I335" s="61"/>
      <c r="J335" s="65" t="s">
        <v>695</v>
      </c>
      <c r="K335" s="61"/>
      <c r="L335" s="61"/>
      <c r="N335" s="15"/>
    </row>
    <row r="336" spans="1:14">
      <c r="D336" s="14"/>
      <c r="F336" s="61"/>
      <c r="G336" s="61"/>
      <c r="H336" s="61"/>
      <c r="I336" s="61"/>
      <c r="J336" s="65" t="s">
        <v>696</v>
      </c>
      <c r="K336" s="61"/>
      <c r="L336" s="61"/>
      <c r="N336" s="15"/>
    </row>
    <row r="337" spans="1:18">
      <c r="D337" s="14"/>
      <c r="F337" s="61"/>
      <c r="G337" s="61"/>
      <c r="H337" s="61"/>
      <c r="I337" s="61"/>
      <c r="J337" s="65" t="s">
        <v>697</v>
      </c>
      <c r="K337" s="61"/>
      <c r="L337" s="61"/>
      <c r="N337" s="15"/>
    </row>
    <row r="338" spans="1:18">
      <c r="A338" s="1"/>
      <c r="D338" s="1"/>
      <c r="E338" s="15" t="s">
        <v>248</v>
      </c>
      <c r="F338" s="18"/>
      <c r="G338" s="103"/>
      <c r="H338" s="65" t="s">
        <v>249</v>
      </c>
      <c r="I338" s="65"/>
      <c r="J338" s="61"/>
      <c r="L338" s="65" t="s">
        <v>250</v>
      </c>
      <c r="M338" s="61"/>
      <c r="O338" s="61"/>
      <c r="P338" s="37" t="s">
        <v>251</v>
      </c>
      <c r="Q338" s="15"/>
    </row>
    <row r="339" spans="1:18">
      <c r="E339" s="14" t="s">
        <v>252</v>
      </c>
      <c r="F339" s="23"/>
      <c r="G339" s="103"/>
      <c r="H339" s="65" t="s">
        <v>252</v>
      </c>
      <c r="I339" s="65"/>
      <c r="J339" s="61"/>
      <c r="L339" s="65" t="s">
        <v>252</v>
      </c>
      <c r="M339" s="61"/>
      <c r="O339" s="61"/>
      <c r="P339" s="38" t="s">
        <v>252</v>
      </c>
      <c r="Q339" s="15"/>
    </row>
    <row r="340" spans="1:18" ht="15" thickBot="1">
      <c r="D340" s="23" t="s">
        <v>253</v>
      </c>
      <c r="E340" s="13"/>
      <c r="F340" s="23"/>
      <c r="G340" s="103" t="s">
        <v>254</v>
      </c>
      <c r="H340" s="112">
        <v>145573</v>
      </c>
      <c r="I340" s="313">
        <f t="shared" ref="I340:K344" si="35">H340*1.049</f>
        <v>152706.07699999999</v>
      </c>
      <c r="J340" s="64">
        <v>172830.32</v>
      </c>
      <c r="K340" s="313">
        <f t="shared" si="35"/>
        <v>181299.00568</v>
      </c>
      <c r="L340" s="65" t="s">
        <v>306</v>
      </c>
      <c r="M340" s="61"/>
      <c r="O340" s="61"/>
      <c r="P340" s="65" t="s">
        <v>256</v>
      </c>
      <c r="Q340" s="56"/>
      <c r="R340" s="61"/>
    </row>
    <row r="341" spans="1:18">
      <c r="E341" s="14"/>
      <c r="F341" s="23"/>
      <c r="G341" s="103"/>
      <c r="H341" s="65"/>
      <c r="I341" s="65"/>
      <c r="J341" s="61"/>
      <c r="L341" s="65"/>
      <c r="M341" s="61"/>
      <c r="O341" s="61"/>
      <c r="P341" s="61"/>
      <c r="Q341" s="56"/>
      <c r="R341" s="61"/>
    </row>
    <row r="342" spans="1:18" ht="15" thickBot="1">
      <c r="A342" s="23" t="s">
        <v>257</v>
      </c>
      <c r="B342" s="268">
        <v>115576</v>
      </c>
      <c r="C342" s="313">
        <f t="shared" ref="C342:C346" si="36">B342*1.049</f>
        <v>121239.22399999999</v>
      </c>
      <c r="D342" s="23" t="s">
        <v>258</v>
      </c>
      <c r="E342" s="13"/>
      <c r="F342" s="23"/>
      <c r="G342" s="103" t="s">
        <v>259</v>
      </c>
      <c r="H342" s="112">
        <v>149354</v>
      </c>
      <c r="I342" s="313">
        <f t="shared" si="35"/>
        <v>156672.34599999999</v>
      </c>
      <c r="J342" s="64">
        <v>177134.15</v>
      </c>
      <c r="K342" s="313">
        <f t="shared" si="35"/>
        <v>185813.72334999999</v>
      </c>
      <c r="L342" s="112">
        <v>113065</v>
      </c>
      <c r="M342" s="100">
        <v>138598.92000000001</v>
      </c>
      <c r="N342" s="313">
        <f>M342*1.049</f>
        <v>145390.26707999999</v>
      </c>
      <c r="O342" s="103" t="s">
        <v>257</v>
      </c>
      <c r="P342" s="112">
        <v>113565</v>
      </c>
      <c r="Q342" s="66">
        <v>139163.67000000001</v>
      </c>
      <c r="R342" s="313">
        <f t="shared" ref="R342:R346" si="37">Q342*1.049</f>
        <v>145982.68983000002</v>
      </c>
    </row>
    <row r="343" spans="1:18">
      <c r="A343" s="23"/>
      <c r="D343" s="23"/>
      <c r="E343" s="14"/>
      <c r="G343" s="61"/>
      <c r="H343" s="65"/>
      <c r="I343" s="65"/>
      <c r="J343" s="61"/>
      <c r="L343" s="65"/>
      <c r="M343" s="103"/>
      <c r="O343" s="103"/>
      <c r="P343" s="65"/>
      <c r="Q343" s="56"/>
      <c r="R343" s="61"/>
    </row>
    <row r="344" spans="1:18" ht="15" thickBot="1">
      <c r="A344" s="23" t="s">
        <v>261</v>
      </c>
      <c r="B344" s="268">
        <v>121142</v>
      </c>
      <c r="C344" s="313">
        <f t="shared" si="36"/>
        <v>127077.958</v>
      </c>
      <c r="D344" s="23" t="s">
        <v>262</v>
      </c>
      <c r="E344" s="13"/>
      <c r="G344" s="103" t="s">
        <v>267</v>
      </c>
      <c r="H344" s="112">
        <v>155821</v>
      </c>
      <c r="I344" s="313">
        <f t="shared" si="35"/>
        <v>163456.22899999999</v>
      </c>
      <c r="J344" s="64">
        <v>184400.48</v>
      </c>
      <c r="K344" s="313">
        <f t="shared" si="35"/>
        <v>193436.10352</v>
      </c>
      <c r="L344" s="112">
        <v>117867</v>
      </c>
      <c r="M344" s="100">
        <v>144022.78</v>
      </c>
      <c r="N344" s="313">
        <f t="shared" ref="N344:N346" si="38">M344*1.049</f>
        <v>151079.89622</v>
      </c>
      <c r="O344" s="103" t="s">
        <v>261</v>
      </c>
      <c r="P344" s="112">
        <v>118367</v>
      </c>
      <c r="Q344" s="66">
        <v>144587.53</v>
      </c>
      <c r="R344" s="313">
        <f t="shared" si="37"/>
        <v>151672.31896999999</v>
      </c>
    </row>
    <row r="345" spans="1:18">
      <c r="A345" s="23"/>
      <c r="D345" s="23"/>
      <c r="E345" s="14"/>
      <c r="G345" s="61"/>
      <c r="H345" s="103" t="s">
        <v>264</v>
      </c>
      <c r="I345" s="103"/>
      <c r="J345" s="61"/>
      <c r="L345" s="65"/>
      <c r="M345" s="103"/>
      <c r="O345" s="103"/>
      <c r="P345" s="65"/>
      <c r="Q345" s="65"/>
      <c r="R345" s="61"/>
    </row>
    <row r="346" spans="1:18" ht="15" thickBot="1">
      <c r="A346" s="23" t="s">
        <v>265</v>
      </c>
      <c r="B346" s="268">
        <v>126134</v>
      </c>
      <c r="C346" s="313">
        <f t="shared" si="36"/>
        <v>132314.56599999999</v>
      </c>
      <c r="D346" s="23" t="s">
        <v>254</v>
      </c>
      <c r="E346" s="13"/>
      <c r="F346" s="26"/>
      <c r="G346" s="113"/>
      <c r="H346" s="103" t="s">
        <v>252</v>
      </c>
      <c r="I346" s="103"/>
      <c r="J346" s="61"/>
      <c r="L346" s="112">
        <v>122199</v>
      </c>
      <c r="M346" s="100">
        <v>148915.76999999999</v>
      </c>
      <c r="N346" s="313">
        <f t="shared" si="38"/>
        <v>156212.64272999999</v>
      </c>
      <c r="O346" s="103" t="s">
        <v>265</v>
      </c>
      <c r="P346" s="112">
        <v>122699</v>
      </c>
      <c r="Q346" s="66">
        <v>149480.51999999999</v>
      </c>
      <c r="R346" s="313">
        <f t="shared" si="37"/>
        <v>156805.06547999999</v>
      </c>
    </row>
    <row r="347" spans="1:18" ht="15" thickBot="1">
      <c r="D347" s="23"/>
      <c r="E347" s="15"/>
      <c r="F347" s="27"/>
      <c r="G347" s="114" t="s">
        <v>257</v>
      </c>
      <c r="H347" s="115"/>
      <c r="I347" s="114"/>
      <c r="J347" s="61"/>
      <c r="L347" s="65"/>
      <c r="M347" s="61"/>
      <c r="N347" s="61"/>
      <c r="O347" s="55"/>
      <c r="P347" s="56"/>
      <c r="Q347" s="61"/>
      <c r="R347" s="61"/>
    </row>
    <row r="348" spans="1:18" ht="15" thickBot="1">
      <c r="D348" s="23" t="s">
        <v>259</v>
      </c>
      <c r="E348" s="13"/>
      <c r="F348" s="27"/>
      <c r="G348" s="114" t="s">
        <v>261</v>
      </c>
      <c r="H348" s="116"/>
      <c r="I348" s="114"/>
      <c r="J348" s="61"/>
      <c r="K348" s="65"/>
      <c r="L348" s="117"/>
      <c r="M348" s="61"/>
      <c r="N348" s="61"/>
      <c r="O348" s="56"/>
      <c r="P348" s="61"/>
      <c r="Q348" s="61"/>
      <c r="R348" s="61"/>
    </row>
    <row r="349" spans="1:18" ht="15" thickBot="1">
      <c r="D349" s="23"/>
      <c r="E349" s="15"/>
      <c r="F349" s="27"/>
      <c r="G349" s="114" t="s">
        <v>254</v>
      </c>
      <c r="H349" s="116"/>
      <c r="I349" s="114"/>
      <c r="J349" s="61"/>
      <c r="K349" s="65"/>
      <c r="L349" s="65"/>
      <c r="M349" s="61"/>
      <c r="N349" s="61"/>
      <c r="O349" s="56"/>
      <c r="P349" s="61"/>
      <c r="Q349" s="61"/>
      <c r="R349" s="61"/>
    </row>
    <row r="350" spans="1:18" ht="15" thickBot="1">
      <c r="D350" s="23" t="s">
        <v>267</v>
      </c>
      <c r="E350" s="13"/>
      <c r="F350" s="27"/>
      <c r="G350" s="114" t="s">
        <v>259</v>
      </c>
      <c r="H350" s="116"/>
      <c r="I350" s="114"/>
      <c r="J350" s="61"/>
      <c r="K350" s="65"/>
      <c r="L350" s="117"/>
      <c r="M350" s="61"/>
      <c r="N350" s="61"/>
      <c r="O350" s="56"/>
      <c r="P350" s="61"/>
      <c r="Q350" s="61"/>
      <c r="R350" s="61"/>
    </row>
    <row r="351" spans="1:18" ht="15" thickBot="1">
      <c r="E351" s="14"/>
      <c r="F351" s="27"/>
      <c r="G351" s="114" t="s">
        <v>267</v>
      </c>
      <c r="H351" s="116"/>
      <c r="I351" s="114"/>
      <c r="J351" s="61"/>
      <c r="K351" s="65"/>
      <c r="L351" s="65"/>
      <c r="M351" s="61"/>
      <c r="N351" s="61"/>
      <c r="O351" s="56"/>
      <c r="P351" s="61"/>
      <c r="Q351" s="61"/>
      <c r="R351" s="61"/>
    </row>
    <row r="352" spans="1:18">
      <c r="A352" s="1" t="s">
        <v>239</v>
      </c>
      <c r="D352" s="14"/>
      <c r="F352" s="61"/>
      <c r="G352" s="61"/>
      <c r="H352" s="61"/>
      <c r="I352" s="61"/>
      <c r="J352" s="65"/>
      <c r="K352" s="117"/>
      <c r="L352" s="61"/>
      <c r="M352" s="61"/>
      <c r="N352" s="56"/>
      <c r="O352" s="61"/>
      <c r="P352" s="61"/>
      <c r="Q352" s="61"/>
      <c r="R352" s="61"/>
    </row>
    <row r="353" spans="1:21">
      <c r="D353" s="14"/>
      <c r="F353" s="61"/>
      <c r="G353" s="61"/>
      <c r="H353" s="61"/>
      <c r="I353" s="61"/>
      <c r="J353" s="65"/>
      <c r="K353" s="61"/>
      <c r="L353" s="61"/>
      <c r="M353" s="61"/>
      <c r="N353" s="56"/>
      <c r="O353" s="61"/>
      <c r="P353" s="61"/>
      <c r="Q353" s="61"/>
      <c r="R353" s="61"/>
    </row>
    <row r="354" spans="1:21" ht="15" thickBot="1">
      <c r="A354" s="4" t="s">
        <v>23</v>
      </c>
      <c r="D354" s="112">
        <v>909</v>
      </c>
      <c r="E354" s="64">
        <f>D354*1.2868</f>
        <v>1169.7012</v>
      </c>
      <c r="F354" s="313">
        <f t="shared" ref="F354:F410" si="39">E354*1.049</f>
        <v>1227.0165588</v>
      </c>
      <c r="G354" s="118" t="s">
        <v>24</v>
      </c>
      <c r="H354" s="118"/>
      <c r="I354" s="118"/>
      <c r="J354" s="112">
        <v>7282</v>
      </c>
      <c r="K354" s="64">
        <f t="shared" ref="K354:K417" si="40">J354*1.2868</f>
        <v>9370.4776000000002</v>
      </c>
      <c r="L354" s="313">
        <f>K354*1.049</f>
        <v>9829.6310023999995</v>
      </c>
      <c r="M354" s="61">
        <v>122</v>
      </c>
      <c r="N354" s="61" t="s">
        <v>307</v>
      </c>
      <c r="O354" s="56">
        <v>2450</v>
      </c>
      <c r="P354" s="72">
        <f t="shared" ref="P354:P382" si="41">O354*1.2868</f>
        <v>3152.66</v>
      </c>
      <c r="Q354" s="313">
        <f t="shared" ref="Q354:Q382" si="42">P354*1.049</f>
        <v>3307.1403399999995</v>
      </c>
      <c r="R354" s="61"/>
    </row>
    <row r="355" spans="1:21" ht="15" thickBot="1">
      <c r="A355" s="4" t="s">
        <v>26</v>
      </c>
      <c r="D355" s="112">
        <v>789</v>
      </c>
      <c r="E355" s="64">
        <f t="shared" ref="E355:E410" si="43">D355*1.2868</f>
        <v>1015.2851999999999</v>
      </c>
      <c r="F355" s="313">
        <f t="shared" si="39"/>
        <v>1065.0341747999998</v>
      </c>
      <c r="G355" s="118" t="s">
        <v>30</v>
      </c>
      <c r="H355" s="118"/>
      <c r="I355" s="118"/>
      <c r="J355" s="112">
        <v>1261</v>
      </c>
      <c r="K355" s="64">
        <f t="shared" si="40"/>
        <v>1622.6548</v>
      </c>
      <c r="L355" s="313">
        <f t="shared" ref="L355:L417" si="44">K355*1.049</f>
        <v>1702.1648851999998</v>
      </c>
      <c r="M355" s="61">
        <v>123</v>
      </c>
      <c r="N355" s="61" t="s">
        <v>222</v>
      </c>
      <c r="O355" s="67">
        <v>100</v>
      </c>
      <c r="P355" s="72">
        <f t="shared" si="41"/>
        <v>128.68</v>
      </c>
      <c r="Q355" s="313">
        <f t="shared" si="42"/>
        <v>134.98532</v>
      </c>
      <c r="R355" s="61"/>
    </row>
    <row r="356" spans="1:21" ht="15" thickBot="1">
      <c r="A356" s="4" t="s">
        <v>29</v>
      </c>
      <c r="D356" s="112">
        <v>592</v>
      </c>
      <c r="E356" s="64">
        <f t="shared" si="43"/>
        <v>761.78559999999993</v>
      </c>
      <c r="F356" s="313">
        <f t="shared" si="39"/>
        <v>799.11309439999991</v>
      </c>
      <c r="G356" s="118" t="s">
        <v>35</v>
      </c>
      <c r="H356" s="118"/>
      <c r="I356" s="118"/>
      <c r="J356" s="112">
        <v>2911</v>
      </c>
      <c r="K356" s="64">
        <f t="shared" si="40"/>
        <v>3745.8748000000001</v>
      </c>
      <c r="L356" s="313">
        <f t="shared" si="44"/>
        <v>3929.4226651999998</v>
      </c>
      <c r="M356" s="61">
        <v>124</v>
      </c>
      <c r="N356" s="61" t="s">
        <v>166</v>
      </c>
      <c r="O356" s="67">
        <v>876</v>
      </c>
      <c r="P356" s="72">
        <f t="shared" si="41"/>
        <v>1127.2367999999999</v>
      </c>
      <c r="Q356" s="313">
        <f t="shared" si="42"/>
        <v>1182.4714031999997</v>
      </c>
      <c r="R356" s="61"/>
    </row>
    <row r="357" spans="1:21" ht="15" thickBot="1">
      <c r="A357" s="4" t="s">
        <v>34</v>
      </c>
      <c r="D357" s="112">
        <v>522</v>
      </c>
      <c r="E357" s="64">
        <f t="shared" si="43"/>
        <v>671.70960000000002</v>
      </c>
      <c r="F357" s="313">
        <f t="shared" si="39"/>
        <v>704.6233704</v>
      </c>
      <c r="G357" s="61" t="s">
        <v>38</v>
      </c>
      <c r="H357" s="61"/>
      <c r="I357" s="61"/>
      <c r="J357" s="112">
        <v>9784</v>
      </c>
      <c r="K357" s="64">
        <f t="shared" si="40"/>
        <v>12590.0512</v>
      </c>
      <c r="L357" s="313">
        <f t="shared" si="44"/>
        <v>13206.963708799998</v>
      </c>
      <c r="M357" s="61">
        <v>125</v>
      </c>
      <c r="N357" s="61" t="s">
        <v>270</v>
      </c>
      <c r="O357" s="67">
        <v>2497</v>
      </c>
      <c r="P357" s="72">
        <f t="shared" si="41"/>
        <v>3213.1396</v>
      </c>
      <c r="Q357" s="313">
        <f t="shared" si="42"/>
        <v>3370.5834403999997</v>
      </c>
      <c r="R357" s="61"/>
    </row>
    <row r="358" spans="1:21" ht="15" thickBot="1">
      <c r="A358" s="4" t="s">
        <v>37</v>
      </c>
      <c r="D358" s="112">
        <v>751</v>
      </c>
      <c r="E358" s="64">
        <f t="shared" si="43"/>
        <v>966.38679999999999</v>
      </c>
      <c r="F358" s="313">
        <f t="shared" si="39"/>
        <v>1013.7397531999999</v>
      </c>
      <c r="G358" s="61" t="s">
        <v>279</v>
      </c>
      <c r="H358" s="61"/>
      <c r="I358" s="61"/>
      <c r="J358" s="112" t="s">
        <v>32</v>
      </c>
      <c r="K358" s="64" t="s">
        <v>9</v>
      </c>
      <c r="L358" s="313"/>
      <c r="M358" s="61">
        <v>126</v>
      </c>
      <c r="N358" s="61" t="s">
        <v>272</v>
      </c>
      <c r="O358" s="67">
        <v>60</v>
      </c>
      <c r="P358" s="72">
        <f t="shared" si="41"/>
        <v>77.207999999999998</v>
      </c>
      <c r="Q358" s="313">
        <f t="shared" si="42"/>
        <v>80.991191999999998</v>
      </c>
      <c r="R358" s="61"/>
    </row>
    <row r="359" spans="1:21" ht="15" thickBot="1">
      <c r="A359" s="4" t="s">
        <v>39</v>
      </c>
      <c r="D359" s="112">
        <v>1205</v>
      </c>
      <c r="E359" s="64">
        <f t="shared" si="43"/>
        <v>1550.5939999999998</v>
      </c>
      <c r="F359" s="313">
        <f t="shared" si="39"/>
        <v>1626.5731059999996</v>
      </c>
      <c r="G359" s="118" t="s">
        <v>40</v>
      </c>
      <c r="H359" s="118"/>
      <c r="I359" s="118"/>
      <c r="J359" s="112">
        <v>9310</v>
      </c>
      <c r="K359" s="64">
        <f t="shared" si="40"/>
        <v>11980.108</v>
      </c>
      <c r="L359" s="313">
        <f t="shared" si="44"/>
        <v>12567.133291999999</v>
      </c>
      <c r="M359" s="61">
        <v>127</v>
      </c>
      <c r="N359" s="61" t="s">
        <v>273</v>
      </c>
      <c r="O359" s="67" t="s">
        <v>32</v>
      </c>
      <c r="P359" s="72" t="s">
        <v>9</v>
      </c>
      <c r="Q359" s="313"/>
      <c r="R359" s="61"/>
    </row>
    <row r="360" spans="1:21" ht="15" thickBot="1">
      <c r="A360" s="4" t="s">
        <v>41</v>
      </c>
      <c r="D360" s="112">
        <v>977</v>
      </c>
      <c r="E360" s="64">
        <f t="shared" si="43"/>
        <v>1257.2036000000001</v>
      </c>
      <c r="F360" s="313">
        <f t="shared" si="39"/>
        <v>1318.8065764</v>
      </c>
      <c r="G360" s="118" t="s">
        <v>42</v>
      </c>
      <c r="H360" s="118"/>
      <c r="I360" s="118"/>
      <c r="J360" s="112">
        <v>1169</v>
      </c>
      <c r="K360" s="64">
        <f t="shared" si="40"/>
        <v>1504.2692</v>
      </c>
      <c r="L360" s="313">
        <f t="shared" si="44"/>
        <v>1577.9783907999999</v>
      </c>
      <c r="M360" s="61">
        <v>128</v>
      </c>
      <c r="N360" s="61" t="s">
        <v>274</v>
      </c>
      <c r="O360" s="67" t="s">
        <v>32</v>
      </c>
      <c r="P360" s="72" t="s">
        <v>9</v>
      </c>
      <c r="Q360" s="313"/>
      <c r="R360" s="61"/>
      <c r="S360" s="32"/>
      <c r="T360" s="32"/>
      <c r="U360" s="32"/>
    </row>
    <row r="361" spans="1:21" ht="15" thickBot="1">
      <c r="A361" s="4" t="s">
        <v>43</v>
      </c>
      <c r="D361" s="112">
        <v>888</v>
      </c>
      <c r="E361" s="64">
        <f t="shared" si="43"/>
        <v>1142.6784</v>
      </c>
      <c r="F361" s="313">
        <f t="shared" si="39"/>
        <v>1198.6696416</v>
      </c>
      <c r="G361" s="118" t="s">
        <v>44</v>
      </c>
      <c r="H361" s="118"/>
      <c r="I361" s="118"/>
      <c r="J361" s="112">
        <v>1086</v>
      </c>
      <c r="K361" s="64">
        <f t="shared" si="40"/>
        <v>1397.4648</v>
      </c>
      <c r="L361" s="313">
        <f t="shared" si="44"/>
        <v>1465.9405751999998</v>
      </c>
      <c r="M361" s="61">
        <v>129</v>
      </c>
      <c r="N361" s="61" t="s">
        <v>275</v>
      </c>
      <c r="O361" s="67" t="s">
        <v>32</v>
      </c>
      <c r="P361" s="72" t="s">
        <v>9</v>
      </c>
      <c r="Q361" s="313"/>
      <c r="R361" s="61"/>
      <c r="S361" s="32"/>
      <c r="T361" s="32"/>
      <c r="U361" s="32"/>
    </row>
    <row r="362" spans="1:21" ht="15" thickBot="1">
      <c r="A362" s="4" t="s">
        <v>45</v>
      </c>
      <c r="D362" s="112">
        <v>-251</v>
      </c>
      <c r="E362" s="64">
        <f t="shared" si="43"/>
        <v>-322.98679999999996</v>
      </c>
      <c r="F362" s="313">
        <f t="shared" si="39"/>
        <v>-338.81315319999993</v>
      </c>
      <c r="G362" s="118" t="s">
        <v>46</v>
      </c>
      <c r="H362" s="118"/>
      <c r="I362" s="118"/>
      <c r="J362" s="112">
        <v>284</v>
      </c>
      <c r="K362" s="64">
        <f t="shared" si="40"/>
        <v>365.45119999999997</v>
      </c>
      <c r="L362" s="313">
        <f t="shared" si="44"/>
        <v>383.35830879999992</v>
      </c>
      <c r="M362" s="61">
        <v>130</v>
      </c>
      <c r="N362" s="61" t="s">
        <v>277</v>
      </c>
      <c r="O362" s="67">
        <v>9770</v>
      </c>
      <c r="P362" s="72">
        <f t="shared" si="41"/>
        <v>12572.036</v>
      </c>
      <c r="Q362" s="313">
        <f t="shared" si="42"/>
        <v>13188.065763999999</v>
      </c>
      <c r="R362" s="61"/>
      <c r="S362" s="32"/>
      <c r="T362" s="32"/>
      <c r="U362" s="32"/>
    </row>
    <row r="363" spans="1:21" ht="15" thickBot="1">
      <c r="A363" s="4" t="s">
        <v>278</v>
      </c>
      <c r="D363" s="112" t="s">
        <v>192</v>
      </c>
      <c r="E363" s="64" t="s">
        <v>57</v>
      </c>
      <c r="F363" s="313"/>
      <c r="G363" s="118" t="s">
        <v>48</v>
      </c>
      <c r="H363" s="118"/>
      <c r="I363" s="118"/>
      <c r="J363" s="112">
        <v>874</v>
      </c>
      <c r="K363" s="64">
        <f t="shared" si="40"/>
        <v>1124.6632</v>
      </c>
      <c r="L363" s="313">
        <f t="shared" si="44"/>
        <v>1179.7716968</v>
      </c>
      <c r="M363" s="61">
        <v>131</v>
      </c>
      <c r="N363" s="61" t="s">
        <v>280</v>
      </c>
      <c r="O363" s="67">
        <v>15550</v>
      </c>
      <c r="P363" s="72">
        <f t="shared" si="41"/>
        <v>20009.739999999998</v>
      </c>
      <c r="Q363" s="313">
        <f t="shared" si="42"/>
        <v>20990.217259999998</v>
      </c>
      <c r="R363" s="61"/>
      <c r="S363" s="32"/>
      <c r="T363" s="32"/>
      <c r="U363" s="32"/>
    </row>
    <row r="364" spans="1:21" ht="15" thickBot="1">
      <c r="A364" s="4" t="s">
        <v>60</v>
      </c>
      <c r="D364" s="112">
        <v>0</v>
      </c>
      <c r="E364" s="64">
        <f t="shared" si="43"/>
        <v>0</v>
      </c>
      <c r="F364" s="313">
        <f t="shared" si="39"/>
        <v>0</v>
      </c>
      <c r="G364" s="118" t="s">
        <v>50</v>
      </c>
      <c r="H364" s="118"/>
      <c r="I364" s="118"/>
      <c r="J364" s="112">
        <v>788</v>
      </c>
      <c r="K364" s="64">
        <f t="shared" si="40"/>
        <v>1013.9983999999999</v>
      </c>
      <c r="L364" s="313">
        <f t="shared" si="44"/>
        <v>1063.6843216</v>
      </c>
      <c r="M364" s="61">
        <v>132</v>
      </c>
      <c r="N364" s="61" t="s">
        <v>308</v>
      </c>
      <c r="O364" s="67">
        <v>7964</v>
      </c>
      <c r="P364" s="72">
        <f t="shared" si="41"/>
        <v>10248.075199999999</v>
      </c>
      <c r="Q364" s="313">
        <f t="shared" si="42"/>
        <v>10750.230884799999</v>
      </c>
      <c r="R364" s="61"/>
      <c r="S364" s="32"/>
      <c r="T364" s="32"/>
      <c r="U364" s="32"/>
    </row>
    <row r="365" spans="1:21" ht="15" thickBot="1">
      <c r="A365" t="s">
        <v>62</v>
      </c>
      <c r="D365" s="112">
        <v>0</v>
      </c>
      <c r="E365" s="64">
        <f t="shared" si="43"/>
        <v>0</v>
      </c>
      <c r="F365" s="313">
        <f t="shared" si="39"/>
        <v>0</v>
      </c>
      <c r="G365" s="118" t="s">
        <v>52</v>
      </c>
      <c r="H365" s="118"/>
      <c r="I365" s="118"/>
      <c r="J365" s="112">
        <v>1247</v>
      </c>
      <c r="K365" s="64">
        <f t="shared" si="40"/>
        <v>1604.6396</v>
      </c>
      <c r="L365" s="313">
        <f t="shared" si="44"/>
        <v>1683.2669403999998</v>
      </c>
      <c r="M365" s="61">
        <v>133</v>
      </c>
      <c r="N365" s="61" t="s">
        <v>184</v>
      </c>
      <c r="O365" s="67">
        <v>5308</v>
      </c>
      <c r="P365" s="72">
        <f t="shared" si="41"/>
        <v>6830.3343999999997</v>
      </c>
      <c r="Q365" s="313">
        <f t="shared" si="42"/>
        <v>7165.0207855999988</v>
      </c>
      <c r="R365" s="61"/>
      <c r="S365" s="32"/>
      <c r="T365" s="32"/>
      <c r="U365" s="32"/>
    </row>
    <row r="366" spans="1:21" ht="15" thickBot="1">
      <c r="A366" t="s">
        <v>64</v>
      </c>
      <c r="D366" s="112">
        <v>85</v>
      </c>
      <c r="E366" s="64">
        <f t="shared" si="43"/>
        <v>109.378</v>
      </c>
      <c r="F366" s="313">
        <f t="shared" si="39"/>
        <v>114.737522</v>
      </c>
      <c r="G366" s="118" t="s">
        <v>54</v>
      </c>
      <c r="H366" s="118"/>
      <c r="I366" s="118"/>
      <c r="J366" s="112" t="s">
        <v>192</v>
      </c>
      <c r="K366" s="64" t="s">
        <v>57</v>
      </c>
      <c r="L366" s="313"/>
      <c r="M366" s="61">
        <v>134</v>
      </c>
      <c r="N366" s="61" t="s">
        <v>186</v>
      </c>
      <c r="O366" s="67">
        <v>2467</v>
      </c>
      <c r="P366" s="72">
        <f t="shared" si="41"/>
        <v>3174.5355999999997</v>
      </c>
      <c r="Q366" s="313">
        <f t="shared" si="42"/>
        <v>3330.0878443999995</v>
      </c>
      <c r="R366" s="61"/>
      <c r="S366" s="32"/>
      <c r="T366" s="32"/>
      <c r="U366" s="32"/>
    </row>
    <row r="367" spans="1:21" ht="15" thickBot="1">
      <c r="A367" s="31" t="s">
        <v>66</v>
      </c>
      <c r="D367" s="112">
        <v>72</v>
      </c>
      <c r="E367" s="64">
        <f t="shared" si="43"/>
        <v>92.649599999999992</v>
      </c>
      <c r="F367" s="313">
        <f t="shared" si="39"/>
        <v>97.189430399999992</v>
      </c>
      <c r="G367" s="118" t="s">
        <v>59</v>
      </c>
      <c r="H367" s="118"/>
      <c r="I367" s="118"/>
      <c r="J367" s="112">
        <v>1099</v>
      </c>
      <c r="K367" s="64">
        <f t="shared" si="40"/>
        <v>1414.1931999999999</v>
      </c>
      <c r="L367" s="313">
        <f t="shared" si="44"/>
        <v>1483.4886667999999</v>
      </c>
      <c r="M367" s="61">
        <v>135</v>
      </c>
      <c r="N367" s="61" t="s">
        <v>187</v>
      </c>
      <c r="O367" s="67">
        <v>4767</v>
      </c>
      <c r="P367" s="72">
        <f t="shared" si="41"/>
        <v>6134.1755999999996</v>
      </c>
      <c r="Q367" s="313">
        <f t="shared" si="42"/>
        <v>6434.7502043999993</v>
      </c>
      <c r="R367" s="61"/>
      <c r="S367" s="32"/>
      <c r="T367" s="32"/>
      <c r="U367" s="32"/>
    </row>
    <row r="368" spans="1:21" ht="15" thickBot="1">
      <c r="A368" s="32" t="s">
        <v>68</v>
      </c>
      <c r="D368" s="112">
        <v>136</v>
      </c>
      <c r="E368" s="64">
        <f t="shared" si="43"/>
        <v>175.00479999999999</v>
      </c>
      <c r="F368" s="313">
        <f t="shared" si="39"/>
        <v>183.58003519999997</v>
      </c>
      <c r="G368" s="118" t="s">
        <v>61</v>
      </c>
      <c r="H368" s="118"/>
      <c r="I368" s="118"/>
      <c r="J368" s="112">
        <v>1866</v>
      </c>
      <c r="K368" s="64">
        <f t="shared" si="40"/>
        <v>2401.1687999999999</v>
      </c>
      <c r="L368" s="313">
        <f t="shared" si="44"/>
        <v>2518.8260711999997</v>
      </c>
      <c r="M368" s="61">
        <v>136</v>
      </c>
      <c r="N368" s="61" t="s">
        <v>188</v>
      </c>
      <c r="O368" s="67">
        <v>194</v>
      </c>
      <c r="P368" s="72">
        <f t="shared" si="41"/>
        <v>249.63919999999999</v>
      </c>
      <c r="Q368" s="313">
        <f t="shared" si="42"/>
        <v>261.87152079999998</v>
      </c>
      <c r="R368" s="61"/>
      <c r="S368" s="32"/>
      <c r="T368" s="32"/>
      <c r="U368" s="32"/>
    </row>
    <row r="369" spans="1:21" ht="15" thickBot="1">
      <c r="A369" s="32" t="s">
        <v>70</v>
      </c>
      <c r="D369" s="112">
        <v>76</v>
      </c>
      <c r="E369" s="64">
        <f t="shared" si="43"/>
        <v>97.79679999999999</v>
      </c>
      <c r="F369" s="313">
        <f t="shared" si="39"/>
        <v>102.58884319999999</v>
      </c>
      <c r="G369" s="118" t="s">
        <v>63</v>
      </c>
      <c r="H369" s="118"/>
      <c r="I369" s="118"/>
      <c r="J369" s="112">
        <v>2069</v>
      </c>
      <c r="K369" s="64">
        <f t="shared" si="40"/>
        <v>2662.3892000000001</v>
      </c>
      <c r="L369" s="313">
        <f t="shared" si="44"/>
        <v>2792.8462707999997</v>
      </c>
      <c r="M369" s="61">
        <v>137</v>
      </c>
      <c r="N369" s="61" t="s">
        <v>191</v>
      </c>
      <c r="O369" s="63">
        <v>1520</v>
      </c>
      <c r="P369" s="72">
        <f t="shared" si="41"/>
        <v>1955.9359999999999</v>
      </c>
      <c r="Q369" s="313">
        <f t="shared" si="42"/>
        <v>2051.7768639999999</v>
      </c>
      <c r="R369" s="61"/>
      <c r="S369" s="32"/>
      <c r="T369" s="32"/>
      <c r="U369" s="32"/>
    </row>
    <row r="370" spans="1:21" ht="15" thickBot="1">
      <c r="A370" s="32" t="s">
        <v>72</v>
      </c>
      <c r="D370" s="112">
        <v>21</v>
      </c>
      <c r="E370" s="64">
        <f t="shared" si="43"/>
        <v>27.0228</v>
      </c>
      <c r="F370" s="313">
        <f t="shared" si="39"/>
        <v>28.3469172</v>
      </c>
      <c r="G370" s="118" t="s">
        <v>67</v>
      </c>
      <c r="H370" s="118"/>
      <c r="I370" s="118"/>
      <c r="J370" s="112">
        <v>795</v>
      </c>
      <c r="K370" s="64">
        <f t="shared" si="40"/>
        <v>1023.006</v>
      </c>
      <c r="L370" s="313">
        <f t="shared" si="44"/>
        <v>1073.133294</v>
      </c>
      <c r="M370" s="61">
        <v>138</v>
      </c>
      <c r="N370" s="61" t="s">
        <v>193</v>
      </c>
      <c r="O370" s="63">
        <v>1770</v>
      </c>
      <c r="P370" s="72">
        <f t="shared" si="41"/>
        <v>2277.636</v>
      </c>
      <c r="Q370" s="313">
        <f t="shared" si="42"/>
        <v>2389.2401639999998</v>
      </c>
      <c r="R370" s="61"/>
      <c r="S370" s="32"/>
      <c r="T370" s="32"/>
      <c r="U370" s="32"/>
    </row>
    <row r="371" spans="1:21" ht="15" thickBot="1">
      <c r="A371" s="32" t="s">
        <v>74</v>
      </c>
      <c r="D371" s="112">
        <v>72</v>
      </c>
      <c r="E371" s="64">
        <f t="shared" si="43"/>
        <v>92.649599999999992</v>
      </c>
      <c r="F371" s="313">
        <f t="shared" si="39"/>
        <v>97.189430399999992</v>
      </c>
      <c r="G371" s="118" t="s">
        <v>71</v>
      </c>
      <c r="H371" s="118"/>
      <c r="I371" s="118"/>
      <c r="J371" s="112">
        <v>274</v>
      </c>
      <c r="K371" s="64">
        <f t="shared" si="40"/>
        <v>352.58319999999998</v>
      </c>
      <c r="L371" s="313">
        <f t="shared" si="44"/>
        <v>369.85977679999996</v>
      </c>
      <c r="M371" s="61">
        <v>139</v>
      </c>
      <c r="N371" s="61" t="s">
        <v>309</v>
      </c>
      <c r="O371" s="67">
        <v>3505</v>
      </c>
      <c r="P371" s="72">
        <f t="shared" si="41"/>
        <v>4510.2339999999995</v>
      </c>
      <c r="Q371" s="313">
        <f t="shared" si="42"/>
        <v>4731.2354659999992</v>
      </c>
      <c r="R371" s="61"/>
      <c r="S371" s="32"/>
      <c r="T371" s="32"/>
      <c r="U371" s="32"/>
    </row>
    <row r="372" spans="1:21" ht="15" thickBot="1">
      <c r="A372" s="31" t="s">
        <v>76</v>
      </c>
      <c r="B372" s="31"/>
      <c r="C372" s="31"/>
      <c r="D372" s="112">
        <v>1285</v>
      </c>
      <c r="E372" s="64">
        <f t="shared" si="43"/>
        <v>1653.538</v>
      </c>
      <c r="F372" s="313">
        <f t="shared" si="39"/>
        <v>1734.5613619999999</v>
      </c>
      <c r="G372" s="118" t="s">
        <v>75</v>
      </c>
      <c r="H372" s="118"/>
      <c r="I372" s="118"/>
      <c r="J372" s="112">
        <v>179</v>
      </c>
      <c r="K372" s="64">
        <f t="shared" si="40"/>
        <v>230.3372</v>
      </c>
      <c r="L372" s="313">
        <f t="shared" si="44"/>
        <v>241.62372279999997</v>
      </c>
      <c r="M372" s="61">
        <v>140</v>
      </c>
      <c r="N372" s="61" t="s">
        <v>310</v>
      </c>
      <c r="O372" s="63">
        <v>4030</v>
      </c>
      <c r="P372" s="72">
        <f t="shared" si="41"/>
        <v>5185.8040000000001</v>
      </c>
      <c r="Q372" s="313">
        <f t="shared" si="42"/>
        <v>5439.9083959999998</v>
      </c>
      <c r="R372" s="61"/>
      <c r="S372" s="32"/>
      <c r="T372" s="32"/>
      <c r="U372" s="32"/>
    </row>
    <row r="373" spans="1:21" ht="15" thickBot="1">
      <c r="A373" s="33" t="s">
        <v>281</v>
      </c>
      <c r="B373" s="32"/>
      <c r="C373" s="32"/>
      <c r="D373" s="132" t="s">
        <v>192</v>
      </c>
      <c r="E373" s="64" t="s">
        <v>57</v>
      </c>
      <c r="F373" s="313"/>
      <c r="G373" s="118" t="s">
        <v>78</v>
      </c>
      <c r="H373" s="118"/>
      <c r="I373" s="118"/>
      <c r="J373" s="112">
        <v>825</v>
      </c>
      <c r="K373" s="64">
        <f t="shared" si="40"/>
        <v>1061.6099999999999</v>
      </c>
      <c r="L373" s="313">
        <f t="shared" si="44"/>
        <v>1113.6288899999997</v>
      </c>
      <c r="M373" s="61">
        <v>141</v>
      </c>
      <c r="N373" s="61" t="s">
        <v>311</v>
      </c>
      <c r="O373" s="63">
        <v>10115</v>
      </c>
      <c r="P373" s="72">
        <f t="shared" si="41"/>
        <v>13015.982</v>
      </c>
      <c r="Q373" s="313">
        <f t="shared" si="42"/>
        <v>13653.765117999999</v>
      </c>
      <c r="R373" s="61"/>
      <c r="S373" s="32"/>
      <c r="T373" s="32"/>
      <c r="U373" s="32"/>
    </row>
    <row r="374" spans="1:21" ht="15" thickBot="1">
      <c r="A374" s="4" t="s">
        <v>81</v>
      </c>
      <c r="B374" s="32"/>
      <c r="C374" s="32"/>
      <c r="D374" s="132" t="s">
        <v>32</v>
      </c>
      <c r="E374" s="64" t="s">
        <v>9</v>
      </c>
      <c r="F374" s="313"/>
      <c r="G374" s="118" t="s">
        <v>80</v>
      </c>
      <c r="H374" s="118"/>
      <c r="I374" s="118"/>
      <c r="J374" s="112">
        <v>115</v>
      </c>
      <c r="K374" s="64">
        <f t="shared" si="40"/>
        <v>147.982</v>
      </c>
      <c r="L374" s="313">
        <f t="shared" si="44"/>
        <v>155.23311799999999</v>
      </c>
      <c r="M374" s="61">
        <v>142</v>
      </c>
      <c r="N374" s="61" t="s">
        <v>312</v>
      </c>
      <c r="O374" s="63">
        <v>4650</v>
      </c>
      <c r="P374" s="72">
        <f t="shared" si="41"/>
        <v>5983.62</v>
      </c>
      <c r="Q374" s="313">
        <f t="shared" si="42"/>
        <v>6276.8173799999995</v>
      </c>
      <c r="R374" s="61"/>
    </row>
    <row r="375" spans="1:21" ht="15" thickBot="1">
      <c r="A375" s="4" t="s">
        <v>83</v>
      </c>
      <c r="B375" s="32"/>
      <c r="C375" s="32"/>
      <c r="D375" s="132">
        <v>2160</v>
      </c>
      <c r="E375" s="64">
        <f t="shared" si="43"/>
        <v>2779.4879999999998</v>
      </c>
      <c r="F375" s="313">
        <f t="shared" si="39"/>
        <v>2915.6829119999998</v>
      </c>
      <c r="G375" s="118" t="s">
        <v>82</v>
      </c>
      <c r="H375" s="118"/>
      <c r="I375" s="118"/>
      <c r="J375" s="112">
        <v>167</v>
      </c>
      <c r="K375" s="64">
        <f t="shared" si="40"/>
        <v>214.8956</v>
      </c>
      <c r="L375" s="313">
        <f t="shared" si="44"/>
        <v>225.42548439999999</v>
      </c>
      <c r="M375" s="61">
        <v>143</v>
      </c>
      <c r="N375" s="61" t="s">
        <v>313</v>
      </c>
      <c r="O375" s="63">
        <v>4604</v>
      </c>
      <c r="P375" s="72">
        <f t="shared" si="41"/>
        <v>5924.4272000000001</v>
      </c>
      <c r="Q375" s="313">
        <f t="shared" si="42"/>
        <v>6214.7241328</v>
      </c>
      <c r="R375" s="61"/>
    </row>
    <row r="376" spans="1:21" ht="15" thickBot="1">
      <c r="A376" s="4" t="s">
        <v>85</v>
      </c>
      <c r="B376" s="32"/>
      <c r="C376" s="32"/>
      <c r="D376" s="132">
        <v>577</v>
      </c>
      <c r="E376" s="64">
        <f t="shared" si="43"/>
        <v>742.48360000000002</v>
      </c>
      <c r="F376" s="313">
        <f t="shared" si="39"/>
        <v>778.86529639999992</v>
      </c>
      <c r="G376" s="118" t="s">
        <v>84</v>
      </c>
      <c r="H376" s="118"/>
      <c r="I376" s="118"/>
      <c r="J376" s="112">
        <v>287</v>
      </c>
      <c r="K376" s="64">
        <f t="shared" si="40"/>
        <v>369.3116</v>
      </c>
      <c r="L376" s="313">
        <f t="shared" si="44"/>
        <v>387.40786839999998</v>
      </c>
      <c r="M376" s="61">
        <v>144</v>
      </c>
      <c r="N376" s="61" t="s">
        <v>314</v>
      </c>
      <c r="O376" s="63">
        <v>5697</v>
      </c>
      <c r="P376" s="72">
        <f t="shared" si="41"/>
        <v>7330.8995999999997</v>
      </c>
      <c r="Q376" s="313">
        <f t="shared" si="42"/>
        <v>7690.1136803999989</v>
      </c>
      <c r="R376" s="61"/>
    </row>
    <row r="377" spans="1:21" ht="15" thickBot="1">
      <c r="A377" s="4" t="s">
        <v>87</v>
      </c>
      <c r="B377" s="31"/>
      <c r="C377" s="31"/>
      <c r="D377" s="112">
        <v>634</v>
      </c>
      <c r="E377" s="64">
        <f t="shared" si="43"/>
        <v>815.83119999999997</v>
      </c>
      <c r="F377" s="313">
        <f t="shared" si="39"/>
        <v>855.80692879999992</v>
      </c>
      <c r="G377" s="118" t="s">
        <v>86</v>
      </c>
      <c r="H377" s="118"/>
      <c r="I377" s="118"/>
      <c r="J377" s="112" t="s">
        <v>32</v>
      </c>
      <c r="K377" s="64" t="s">
        <v>9</v>
      </c>
      <c r="L377" s="313"/>
      <c r="M377" s="61">
        <v>145</v>
      </c>
      <c r="N377" s="61" t="s">
        <v>196</v>
      </c>
      <c r="O377" s="67">
        <v>1262</v>
      </c>
      <c r="P377" s="72">
        <f t="shared" si="41"/>
        <v>1623.9415999999999</v>
      </c>
      <c r="Q377" s="313">
        <f t="shared" si="42"/>
        <v>1703.5147383999997</v>
      </c>
      <c r="R377" s="61"/>
    </row>
    <row r="378" spans="1:21" ht="15" thickBot="1">
      <c r="A378" s="4" t="s">
        <v>89</v>
      </c>
      <c r="B378" s="31"/>
      <c r="C378" s="31"/>
      <c r="D378" s="112">
        <v>845</v>
      </c>
      <c r="E378" s="64">
        <f t="shared" si="43"/>
        <v>1087.346</v>
      </c>
      <c r="F378" s="313">
        <f t="shared" si="39"/>
        <v>1140.6259539999999</v>
      </c>
      <c r="G378" s="118" t="s">
        <v>88</v>
      </c>
      <c r="H378" s="118"/>
      <c r="I378" s="118"/>
      <c r="J378" s="112">
        <v>210</v>
      </c>
      <c r="K378" s="64">
        <f t="shared" si="40"/>
        <v>270.22800000000001</v>
      </c>
      <c r="L378" s="313">
        <f t="shared" si="44"/>
        <v>283.46917200000001</v>
      </c>
      <c r="M378" s="61">
        <v>146</v>
      </c>
      <c r="N378" s="61" t="s">
        <v>194</v>
      </c>
      <c r="O378" s="67">
        <v>29</v>
      </c>
      <c r="P378" s="72">
        <f t="shared" si="41"/>
        <v>37.3172</v>
      </c>
      <c r="Q378" s="313">
        <f t="shared" si="42"/>
        <v>39.145742799999994</v>
      </c>
      <c r="R378" s="61"/>
    </row>
    <row r="379" spans="1:21" ht="15" thickBot="1">
      <c r="A379" t="s">
        <v>91</v>
      </c>
      <c r="D379" s="112">
        <v>-268</v>
      </c>
      <c r="E379" s="64">
        <f t="shared" si="43"/>
        <v>-344.86239999999998</v>
      </c>
      <c r="F379" s="313">
        <f t="shared" si="39"/>
        <v>-361.76065759999994</v>
      </c>
      <c r="G379" s="61" t="s">
        <v>90</v>
      </c>
      <c r="H379" s="61"/>
      <c r="I379" s="61"/>
      <c r="J379" s="112">
        <v>195</v>
      </c>
      <c r="K379" s="64">
        <f t="shared" si="40"/>
        <v>250.92599999999999</v>
      </c>
      <c r="L379" s="313">
        <f t="shared" si="44"/>
        <v>263.22137399999997</v>
      </c>
      <c r="M379" s="61">
        <v>147</v>
      </c>
      <c r="N379" s="61" t="s">
        <v>195</v>
      </c>
      <c r="O379" s="67">
        <v>35</v>
      </c>
      <c r="P379" s="72">
        <f t="shared" si="41"/>
        <v>45.037999999999997</v>
      </c>
      <c r="Q379" s="313">
        <f t="shared" si="42"/>
        <v>47.244861999999991</v>
      </c>
      <c r="R379" s="61"/>
    </row>
    <row r="380" spans="1:21" ht="15" thickBot="1">
      <c r="A380" t="s">
        <v>93</v>
      </c>
      <c r="D380" s="112">
        <v>-211</v>
      </c>
      <c r="E380" s="64">
        <f t="shared" si="43"/>
        <v>-271.51479999999998</v>
      </c>
      <c r="F380" s="313">
        <f t="shared" si="39"/>
        <v>-284.81902519999994</v>
      </c>
      <c r="G380" s="118" t="s">
        <v>92</v>
      </c>
      <c r="H380" s="118"/>
      <c r="I380" s="61"/>
      <c r="J380" s="112" t="s">
        <v>32</v>
      </c>
      <c r="K380" s="64" t="s">
        <v>9</v>
      </c>
      <c r="L380" s="313"/>
      <c r="M380" s="61">
        <v>148</v>
      </c>
      <c r="N380" s="61" t="s">
        <v>315</v>
      </c>
      <c r="O380" s="67">
        <v>936</v>
      </c>
      <c r="P380" s="72">
        <f t="shared" si="41"/>
        <v>1204.4448</v>
      </c>
      <c r="Q380" s="313">
        <f t="shared" si="42"/>
        <v>1263.4625951999999</v>
      </c>
      <c r="R380" s="61"/>
    </row>
    <row r="381" spans="1:21" ht="15" thickBot="1">
      <c r="A381" t="s">
        <v>95</v>
      </c>
      <c r="D381" s="112">
        <v>1096</v>
      </c>
      <c r="E381" s="64">
        <f t="shared" si="43"/>
        <v>1410.3327999999999</v>
      </c>
      <c r="F381" s="313">
        <f t="shared" si="39"/>
        <v>1479.4391071999999</v>
      </c>
      <c r="G381" s="61" t="s">
        <v>94</v>
      </c>
      <c r="H381" s="61"/>
      <c r="I381" s="61"/>
      <c r="J381" s="112">
        <v>198</v>
      </c>
      <c r="K381" s="64">
        <f t="shared" si="40"/>
        <v>254.78639999999999</v>
      </c>
      <c r="L381" s="313">
        <f t="shared" si="44"/>
        <v>267.27093359999998</v>
      </c>
      <c r="M381" s="61">
        <v>149</v>
      </c>
      <c r="N381" s="61" t="s">
        <v>316</v>
      </c>
      <c r="O381" s="67">
        <v>311</v>
      </c>
      <c r="P381" s="72">
        <f t="shared" si="41"/>
        <v>400.19479999999999</v>
      </c>
      <c r="Q381" s="313">
        <f t="shared" si="42"/>
        <v>419.80434519999994</v>
      </c>
      <c r="R381" s="61"/>
    </row>
    <row r="382" spans="1:21" ht="15" thickBot="1">
      <c r="A382" t="s">
        <v>97</v>
      </c>
      <c r="D382" s="112">
        <v>2391</v>
      </c>
      <c r="E382" s="64">
        <f t="shared" si="43"/>
        <v>3076.7388000000001</v>
      </c>
      <c r="F382" s="313">
        <f t="shared" si="39"/>
        <v>3227.4990011999998</v>
      </c>
      <c r="G382" s="61" t="s">
        <v>96</v>
      </c>
      <c r="H382" s="61"/>
      <c r="I382" s="61"/>
      <c r="J382" s="112">
        <v>3795</v>
      </c>
      <c r="K382" s="64">
        <f t="shared" si="40"/>
        <v>4883.4059999999999</v>
      </c>
      <c r="L382" s="313">
        <f t="shared" si="44"/>
        <v>5122.6928939999998</v>
      </c>
      <c r="M382" s="61">
        <v>150</v>
      </c>
      <c r="N382" s="61" t="s">
        <v>317</v>
      </c>
      <c r="O382" s="67">
        <v>4863</v>
      </c>
      <c r="P382" s="72">
        <f t="shared" si="41"/>
        <v>6257.7083999999995</v>
      </c>
      <c r="Q382" s="313">
        <f t="shared" si="42"/>
        <v>6564.3361115999987</v>
      </c>
      <c r="R382" s="61"/>
    </row>
    <row r="383" spans="1:21" ht="15" thickBot="1">
      <c r="A383" t="s">
        <v>99</v>
      </c>
      <c r="D383" s="112">
        <v>-212</v>
      </c>
      <c r="E383" s="64">
        <f t="shared" si="43"/>
        <v>-272.80160000000001</v>
      </c>
      <c r="F383" s="313">
        <f t="shared" si="39"/>
        <v>-286.16887839999998</v>
      </c>
      <c r="G383" s="61" t="s">
        <v>302</v>
      </c>
      <c r="H383" s="61"/>
      <c r="I383" s="61"/>
      <c r="J383" s="112" t="s">
        <v>32</v>
      </c>
      <c r="K383" s="64" t="s">
        <v>9</v>
      </c>
      <c r="L383" s="313"/>
      <c r="M383" s="61"/>
      <c r="N383" s="61"/>
      <c r="O383" s="56"/>
      <c r="P383" s="61"/>
      <c r="Q383" s="61"/>
      <c r="R383" s="61"/>
    </row>
    <row r="384" spans="1:21" ht="15" thickBot="1">
      <c r="A384" t="s">
        <v>101</v>
      </c>
      <c r="D384" s="112">
        <v>-108</v>
      </c>
      <c r="E384" s="64">
        <f t="shared" si="43"/>
        <v>-138.9744</v>
      </c>
      <c r="F384" s="313">
        <f t="shared" si="39"/>
        <v>-145.78414559999999</v>
      </c>
      <c r="G384" s="118" t="s">
        <v>100</v>
      </c>
      <c r="H384" s="118"/>
      <c r="I384" s="118"/>
      <c r="J384" s="112">
        <v>2980</v>
      </c>
      <c r="K384" s="64">
        <f t="shared" si="40"/>
        <v>3834.6639999999998</v>
      </c>
      <c r="L384" s="313">
        <f t="shared" si="44"/>
        <v>4022.5625359999995</v>
      </c>
      <c r="M384" s="61"/>
      <c r="N384" s="61"/>
      <c r="O384" s="56"/>
      <c r="P384" s="61"/>
      <c r="Q384" s="61"/>
      <c r="R384" s="61"/>
    </row>
    <row r="385" spans="1:18" ht="15" thickBot="1">
      <c r="A385" t="s">
        <v>103</v>
      </c>
      <c r="D385" s="112">
        <v>81</v>
      </c>
      <c r="E385" s="64">
        <f t="shared" si="43"/>
        <v>104.2308</v>
      </c>
      <c r="F385" s="313">
        <f t="shared" si="39"/>
        <v>109.33810919999999</v>
      </c>
      <c r="G385" s="118" t="s">
        <v>102</v>
      </c>
      <c r="H385" s="118"/>
      <c r="I385" s="118"/>
      <c r="J385" s="112">
        <v>6234</v>
      </c>
      <c r="K385" s="64">
        <f t="shared" si="40"/>
        <v>8021.9111999999996</v>
      </c>
      <c r="L385" s="313">
        <f t="shared" si="44"/>
        <v>8414.9848487999989</v>
      </c>
      <c r="M385" s="61"/>
      <c r="N385" s="61"/>
      <c r="O385" s="56"/>
      <c r="P385" s="61"/>
      <c r="Q385" s="61"/>
      <c r="R385" s="61"/>
    </row>
    <row r="386" spans="1:18" ht="15" thickBot="1">
      <c r="A386" t="s">
        <v>105</v>
      </c>
      <c r="D386" s="112">
        <v>81</v>
      </c>
      <c r="E386" s="64">
        <f t="shared" si="43"/>
        <v>104.2308</v>
      </c>
      <c r="F386" s="313">
        <f t="shared" si="39"/>
        <v>109.33810919999999</v>
      </c>
      <c r="G386" s="118" t="s">
        <v>104</v>
      </c>
      <c r="H386" s="118"/>
      <c r="I386" s="118"/>
      <c r="J386" s="112">
        <v>4861</v>
      </c>
      <c r="K386" s="64">
        <f t="shared" si="40"/>
        <v>6255.1347999999998</v>
      </c>
      <c r="L386" s="313">
        <f t="shared" si="44"/>
        <v>6561.636405199999</v>
      </c>
      <c r="M386" s="61"/>
      <c r="N386" s="61"/>
      <c r="O386" s="56"/>
      <c r="P386" s="61"/>
      <c r="Q386" s="61"/>
      <c r="R386" s="61"/>
    </row>
    <row r="387" spans="1:18" ht="15" thickBot="1">
      <c r="A387" t="s">
        <v>107</v>
      </c>
      <c r="D387" s="112">
        <v>-508</v>
      </c>
      <c r="E387" s="64">
        <f t="shared" si="43"/>
        <v>-653.69439999999997</v>
      </c>
      <c r="F387" s="313">
        <f t="shared" si="39"/>
        <v>-685.72542559999988</v>
      </c>
      <c r="G387" s="61" t="s">
        <v>106</v>
      </c>
      <c r="H387" s="61"/>
      <c r="I387" s="61"/>
      <c r="J387" s="119">
        <v>4976</v>
      </c>
      <c r="K387" s="64">
        <f t="shared" si="40"/>
        <v>6403.1167999999998</v>
      </c>
      <c r="L387" s="313">
        <f t="shared" si="44"/>
        <v>6716.8695231999991</v>
      </c>
      <c r="M387" s="61"/>
      <c r="N387" s="61"/>
      <c r="O387" s="56"/>
      <c r="P387" s="61"/>
      <c r="Q387" s="61"/>
      <c r="R387" s="61"/>
    </row>
    <row r="388" spans="1:18" ht="15" thickBot="1">
      <c r="A388" t="s">
        <v>109</v>
      </c>
      <c r="D388" s="112">
        <v>379</v>
      </c>
      <c r="E388" s="64">
        <f t="shared" si="43"/>
        <v>487.69719999999995</v>
      </c>
      <c r="F388" s="313">
        <f t="shared" si="39"/>
        <v>511.59436279999994</v>
      </c>
      <c r="G388" s="118" t="s">
        <v>108</v>
      </c>
      <c r="H388" s="118"/>
      <c r="I388" s="118"/>
      <c r="J388" s="119">
        <v>402</v>
      </c>
      <c r="K388" s="64">
        <f t="shared" si="40"/>
        <v>517.29359999999997</v>
      </c>
      <c r="L388" s="313">
        <f t="shared" si="44"/>
        <v>542.64098639999997</v>
      </c>
      <c r="M388" s="61"/>
      <c r="N388" s="61"/>
      <c r="O388" s="56"/>
      <c r="P388" s="61"/>
      <c r="Q388" s="61"/>
      <c r="R388" s="61"/>
    </row>
    <row r="389" spans="1:18" ht="15" thickBot="1">
      <c r="A389" t="s">
        <v>111</v>
      </c>
      <c r="D389" s="112">
        <v>910</v>
      </c>
      <c r="E389" s="64">
        <f t="shared" si="43"/>
        <v>1170.9880000000001</v>
      </c>
      <c r="F389" s="313">
        <f t="shared" si="39"/>
        <v>1228.3664120000001</v>
      </c>
      <c r="G389" s="118" t="s">
        <v>110</v>
      </c>
      <c r="H389" s="118"/>
      <c r="I389" s="118"/>
      <c r="J389" s="119">
        <v>609</v>
      </c>
      <c r="K389" s="64">
        <f t="shared" si="40"/>
        <v>783.66120000000001</v>
      </c>
      <c r="L389" s="313">
        <f t="shared" si="44"/>
        <v>822.06059879999998</v>
      </c>
      <c r="M389" s="61"/>
      <c r="N389" s="61"/>
      <c r="O389" s="56"/>
      <c r="P389" s="61"/>
      <c r="Q389" s="61"/>
      <c r="R389" s="61"/>
    </row>
    <row r="390" spans="1:18" ht="15" thickBot="1">
      <c r="A390" s="4" t="s">
        <v>113</v>
      </c>
      <c r="D390" s="112">
        <v>114</v>
      </c>
      <c r="E390" s="64">
        <f t="shared" si="43"/>
        <v>146.6952</v>
      </c>
      <c r="F390" s="313">
        <f t="shared" si="39"/>
        <v>153.88326479999998</v>
      </c>
      <c r="G390" s="118" t="s">
        <v>112</v>
      </c>
      <c r="H390" s="118"/>
      <c r="I390" s="118"/>
      <c r="J390" s="119">
        <v>1350</v>
      </c>
      <c r="K390" s="64">
        <f t="shared" si="40"/>
        <v>1737.1799999999998</v>
      </c>
      <c r="L390" s="313">
        <f t="shared" si="44"/>
        <v>1822.3018199999997</v>
      </c>
      <c r="M390" s="61"/>
      <c r="N390" s="61"/>
      <c r="O390" s="56"/>
      <c r="P390" s="61"/>
      <c r="Q390" s="61"/>
      <c r="R390" s="61"/>
    </row>
    <row r="391" spans="1:18" ht="15" thickBot="1">
      <c r="A391" s="4" t="s">
        <v>115</v>
      </c>
      <c r="D391" s="112" t="s">
        <v>32</v>
      </c>
      <c r="E391" s="64" t="s">
        <v>9</v>
      </c>
      <c r="F391" s="313"/>
      <c r="G391" s="61" t="s">
        <v>114</v>
      </c>
      <c r="H391" s="61"/>
      <c r="I391" s="61"/>
      <c r="J391" s="119">
        <v>3359</v>
      </c>
      <c r="K391" s="64">
        <f t="shared" si="40"/>
        <v>4322.3611999999994</v>
      </c>
      <c r="L391" s="313">
        <f t="shared" si="44"/>
        <v>4534.156898799999</v>
      </c>
      <c r="M391" s="61"/>
      <c r="N391" s="61"/>
      <c r="O391" s="56"/>
      <c r="P391" s="61"/>
      <c r="Q391" s="61"/>
      <c r="R391" s="61"/>
    </row>
    <row r="392" spans="1:18" ht="15" thickBot="1">
      <c r="A392" s="4" t="s">
        <v>117</v>
      </c>
      <c r="D392" s="112" t="s">
        <v>32</v>
      </c>
      <c r="E392" s="64" t="s">
        <v>9</v>
      </c>
      <c r="F392" s="313"/>
      <c r="G392" s="61" t="s">
        <v>116</v>
      </c>
      <c r="H392" s="61"/>
      <c r="I392" s="61"/>
      <c r="J392" s="119">
        <v>4636</v>
      </c>
      <c r="K392" s="64">
        <f t="shared" si="40"/>
        <v>5965.6048000000001</v>
      </c>
      <c r="L392" s="313">
        <f t="shared" si="44"/>
        <v>6257.9194351999995</v>
      </c>
      <c r="M392" s="61"/>
      <c r="N392" s="61"/>
      <c r="O392" s="56"/>
      <c r="P392" s="61"/>
      <c r="Q392" s="61"/>
      <c r="R392" s="61"/>
    </row>
    <row r="393" spans="1:18" ht="15" thickBot="1">
      <c r="A393" t="s">
        <v>119</v>
      </c>
      <c r="D393" s="112">
        <v>281</v>
      </c>
      <c r="E393" s="64">
        <f t="shared" si="43"/>
        <v>361.5908</v>
      </c>
      <c r="F393" s="313">
        <f t="shared" si="39"/>
        <v>379.30874919999997</v>
      </c>
      <c r="G393" s="61" t="s">
        <v>118</v>
      </c>
      <c r="H393" s="61"/>
      <c r="I393" s="61"/>
      <c r="J393" s="119">
        <v>6050</v>
      </c>
      <c r="K393" s="64">
        <f t="shared" si="40"/>
        <v>7785.1399999999994</v>
      </c>
      <c r="L393" s="313">
        <f t="shared" si="44"/>
        <v>8166.6118599999991</v>
      </c>
      <c r="M393" s="61"/>
      <c r="N393" s="61"/>
      <c r="O393" s="56"/>
      <c r="P393" s="61"/>
      <c r="Q393" s="61"/>
      <c r="R393" s="61"/>
    </row>
    <row r="394" spans="1:18" ht="15" thickBot="1">
      <c r="A394" t="s">
        <v>121</v>
      </c>
      <c r="D394" s="112">
        <v>11</v>
      </c>
      <c r="E394" s="64">
        <f t="shared" si="43"/>
        <v>14.1548</v>
      </c>
      <c r="F394" s="313">
        <f t="shared" si="39"/>
        <v>14.848385199999999</v>
      </c>
      <c r="G394" s="61" t="s">
        <v>120</v>
      </c>
      <c r="H394" s="61"/>
      <c r="I394" s="61"/>
      <c r="J394" s="119">
        <v>2478</v>
      </c>
      <c r="K394" s="64">
        <f t="shared" si="40"/>
        <v>3188.6904</v>
      </c>
      <c r="L394" s="313">
        <f t="shared" si="44"/>
        <v>3344.9362295999999</v>
      </c>
      <c r="M394" s="61"/>
      <c r="N394" s="61"/>
      <c r="O394" s="56"/>
      <c r="P394" s="61"/>
      <c r="Q394" s="61"/>
      <c r="R394" s="61"/>
    </row>
    <row r="395" spans="1:18" ht="15" thickBot="1">
      <c r="A395" t="s">
        <v>123</v>
      </c>
      <c r="D395" s="112">
        <v>179</v>
      </c>
      <c r="E395" s="64">
        <f t="shared" si="43"/>
        <v>230.3372</v>
      </c>
      <c r="F395" s="313">
        <f t="shared" si="39"/>
        <v>241.62372279999997</v>
      </c>
      <c r="G395" s="61" t="s">
        <v>122</v>
      </c>
      <c r="H395" s="61"/>
      <c r="I395" s="61"/>
      <c r="J395" s="119">
        <v>3032</v>
      </c>
      <c r="K395" s="64">
        <f t="shared" si="40"/>
        <v>3901.5775999999996</v>
      </c>
      <c r="L395" s="313">
        <f t="shared" si="44"/>
        <v>4092.7549023999995</v>
      </c>
      <c r="M395" s="61"/>
      <c r="N395" s="61"/>
      <c r="O395" s="56"/>
      <c r="P395" s="61"/>
      <c r="Q395" s="61"/>
      <c r="R395" s="61"/>
    </row>
    <row r="396" spans="1:18" ht="15" thickBot="1">
      <c r="A396" t="s">
        <v>125</v>
      </c>
      <c r="D396" s="112">
        <v>479</v>
      </c>
      <c r="E396" s="64">
        <f t="shared" si="43"/>
        <v>616.37720000000002</v>
      </c>
      <c r="F396" s="313">
        <f t="shared" si="39"/>
        <v>646.5796828</v>
      </c>
      <c r="G396" s="61" t="s">
        <v>124</v>
      </c>
      <c r="H396" s="61"/>
      <c r="I396" s="61"/>
      <c r="J396" s="119">
        <v>3188</v>
      </c>
      <c r="K396" s="64">
        <f t="shared" si="40"/>
        <v>4102.3184000000001</v>
      </c>
      <c r="L396" s="313">
        <f t="shared" si="44"/>
        <v>4303.3320015999998</v>
      </c>
      <c r="M396" s="61"/>
      <c r="N396" s="61"/>
      <c r="O396" s="56"/>
      <c r="P396" s="61"/>
      <c r="Q396" s="61"/>
      <c r="R396" s="61"/>
    </row>
    <row r="397" spans="1:18" ht="15" thickBot="1">
      <c r="A397" t="s">
        <v>127</v>
      </c>
      <c r="D397" s="112">
        <v>615</v>
      </c>
      <c r="E397" s="64">
        <f t="shared" si="43"/>
        <v>791.38199999999995</v>
      </c>
      <c r="F397" s="313">
        <f t="shared" si="39"/>
        <v>830.15971799999988</v>
      </c>
      <c r="G397" s="61" t="s">
        <v>126</v>
      </c>
      <c r="H397" s="61"/>
      <c r="I397" s="61"/>
      <c r="J397" s="119">
        <v>3998</v>
      </c>
      <c r="K397" s="64">
        <f t="shared" si="40"/>
        <v>5144.6264000000001</v>
      </c>
      <c r="L397" s="313">
        <f t="shared" si="44"/>
        <v>5396.7130935999994</v>
      </c>
      <c r="M397" s="61"/>
      <c r="N397" s="61"/>
      <c r="O397" s="56"/>
      <c r="P397" s="61"/>
      <c r="Q397" s="61"/>
      <c r="R397" s="61"/>
    </row>
    <row r="398" spans="1:18" ht="15" thickBot="1">
      <c r="A398" s="4" t="s">
        <v>129</v>
      </c>
      <c r="D398" s="112">
        <v>6640</v>
      </c>
      <c r="E398" s="64">
        <f t="shared" si="43"/>
        <v>8544.351999999999</v>
      </c>
      <c r="F398" s="313">
        <f t="shared" si="39"/>
        <v>8963.0252479999981</v>
      </c>
      <c r="G398" s="61" t="s">
        <v>128</v>
      </c>
      <c r="H398" s="61"/>
      <c r="I398" s="61"/>
      <c r="J398" s="119">
        <v>4358</v>
      </c>
      <c r="K398" s="64">
        <f t="shared" si="40"/>
        <v>5607.8743999999997</v>
      </c>
      <c r="L398" s="313">
        <f t="shared" si="44"/>
        <v>5882.6602455999991</v>
      </c>
      <c r="M398" s="61"/>
      <c r="N398" s="61"/>
      <c r="O398" s="56"/>
      <c r="P398" s="61"/>
      <c r="Q398" s="61"/>
      <c r="R398" s="61"/>
    </row>
    <row r="399" spans="1:18" ht="15" thickBot="1">
      <c r="A399" s="4" t="s">
        <v>131</v>
      </c>
      <c r="D399" s="112">
        <v>7745</v>
      </c>
      <c r="E399" s="64">
        <f t="shared" si="43"/>
        <v>9966.2659999999996</v>
      </c>
      <c r="F399" s="313">
        <f t="shared" si="39"/>
        <v>10454.613033999998</v>
      </c>
      <c r="G399" s="118" t="s">
        <v>130</v>
      </c>
      <c r="H399" s="118"/>
      <c r="I399" s="118"/>
      <c r="J399" s="119">
        <v>4780</v>
      </c>
      <c r="K399" s="64">
        <f t="shared" si="40"/>
        <v>6150.9039999999995</v>
      </c>
      <c r="L399" s="313">
        <f t="shared" si="44"/>
        <v>6452.298295999999</v>
      </c>
      <c r="M399" s="61"/>
      <c r="N399" s="61"/>
      <c r="O399" s="56"/>
      <c r="P399" s="61"/>
      <c r="Q399" s="61"/>
      <c r="R399" s="61"/>
    </row>
    <row r="400" spans="1:18" ht="15" thickBot="1">
      <c r="A400" s="4" t="s">
        <v>133</v>
      </c>
      <c r="D400" s="112">
        <v>5960</v>
      </c>
      <c r="E400" s="64">
        <f t="shared" si="43"/>
        <v>7669.3279999999995</v>
      </c>
      <c r="F400" s="313">
        <f t="shared" si="39"/>
        <v>8045.1250719999989</v>
      </c>
      <c r="G400" s="118" t="s">
        <v>134</v>
      </c>
      <c r="H400" s="118"/>
      <c r="I400" s="118"/>
      <c r="J400" s="119">
        <v>1975</v>
      </c>
      <c r="K400" s="64">
        <f t="shared" si="40"/>
        <v>2541.4299999999998</v>
      </c>
      <c r="L400" s="313">
        <f t="shared" si="44"/>
        <v>2665.9600699999996</v>
      </c>
      <c r="M400" s="61"/>
      <c r="N400" s="61"/>
      <c r="O400" s="56"/>
      <c r="P400" s="61"/>
      <c r="Q400" s="61"/>
      <c r="R400" s="61"/>
    </row>
    <row r="401" spans="1:18" ht="15" thickBot="1">
      <c r="A401" s="4" t="s">
        <v>135</v>
      </c>
      <c r="D401" s="112">
        <v>6350</v>
      </c>
      <c r="E401" s="64">
        <f t="shared" si="43"/>
        <v>8171.1799999999994</v>
      </c>
      <c r="F401" s="313">
        <f t="shared" si="39"/>
        <v>8571.5678199999984</v>
      </c>
      <c r="G401" s="118" t="s">
        <v>132</v>
      </c>
      <c r="H401" s="118"/>
      <c r="I401" s="118"/>
      <c r="J401" s="119">
        <v>4863</v>
      </c>
      <c r="K401" s="64">
        <f t="shared" si="40"/>
        <v>6257.7083999999995</v>
      </c>
      <c r="L401" s="313">
        <f t="shared" si="44"/>
        <v>6564.3361115999987</v>
      </c>
      <c r="M401" s="61"/>
      <c r="N401" s="61"/>
      <c r="O401" s="56"/>
      <c r="P401" s="61"/>
      <c r="Q401" s="61"/>
      <c r="R401" s="61"/>
    </row>
    <row r="402" spans="1:18" ht="15" thickBot="1">
      <c r="A402" s="4" t="s">
        <v>137</v>
      </c>
      <c r="D402" s="112" t="s">
        <v>32</v>
      </c>
      <c r="E402" s="64" t="s">
        <v>9</v>
      </c>
      <c r="F402" s="313"/>
      <c r="G402" s="118" t="s">
        <v>136</v>
      </c>
      <c r="H402" s="118"/>
      <c r="I402" s="118"/>
      <c r="J402" s="119">
        <v>743</v>
      </c>
      <c r="K402" s="64">
        <f t="shared" si="40"/>
        <v>956.0924</v>
      </c>
      <c r="L402" s="313">
        <f t="shared" si="44"/>
        <v>1002.9409275999999</v>
      </c>
      <c r="M402" s="61"/>
      <c r="N402" s="61"/>
      <c r="O402" s="56"/>
      <c r="P402" s="61"/>
      <c r="Q402" s="61"/>
      <c r="R402" s="61"/>
    </row>
    <row r="403" spans="1:18" ht="15" thickBot="1">
      <c r="A403" s="4" t="s">
        <v>290</v>
      </c>
      <c r="D403" s="112">
        <v>3040</v>
      </c>
      <c r="E403" s="64">
        <f t="shared" si="43"/>
        <v>3911.8719999999998</v>
      </c>
      <c r="F403" s="313">
        <f t="shared" si="39"/>
        <v>4103.5537279999999</v>
      </c>
      <c r="G403" s="61" t="s">
        <v>138</v>
      </c>
      <c r="H403" s="61"/>
      <c r="I403" s="61"/>
      <c r="J403" s="119">
        <v>4697</v>
      </c>
      <c r="K403" s="64">
        <f t="shared" si="40"/>
        <v>6044.0995999999996</v>
      </c>
      <c r="L403" s="313">
        <f t="shared" si="44"/>
        <v>6340.2604803999993</v>
      </c>
      <c r="M403" s="61"/>
      <c r="N403" s="56"/>
      <c r="O403" s="61"/>
      <c r="P403" s="61"/>
      <c r="Q403" s="61"/>
      <c r="R403" s="69"/>
    </row>
    <row r="404" spans="1:18" ht="15" thickBot="1">
      <c r="A404" s="4" t="s">
        <v>291</v>
      </c>
      <c r="D404" s="112">
        <v>5470</v>
      </c>
      <c r="E404" s="64">
        <f t="shared" si="43"/>
        <v>7038.7959999999994</v>
      </c>
      <c r="F404" s="313">
        <f t="shared" si="39"/>
        <v>7383.6970039999987</v>
      </c>
      <c r="G404" s="61" t="s">
        <v>140</v>
      </c>
      <c r="H404" s="61"/>
      <c r="I404" s="61"/>
      <c r="J404" s="119">
        <v>2261</v>
      </c>
      <c r="K404" s="64">
        <f t="shared" si="40"/>
        <v>2909.4548</v>
      </c>
      <c r="L404" s="313">
        <f t="shared" si="44"/>
        <v>3052.0180851999999</v>
      </c>
      <c r="M404" s="61"/>
      <c r="N404" s="56"/>
      <c r="O404" s="61"/>
      <c r="P404" s="61"/>
      <c r="Q404" s="61"/>
      <c r="R404" s="69"/>
    </row>
    <row r="405" spans="1:18" ht="15" thickBot="1">
      <c r="A405" s="4" t="s">
        <v>141</v>
      </c>
      <c r="D405" s="112">
        <v>4355</v>
      </c>
      <c r="E405" s="64">
        <f t="shared" si="43"/>
        <v>5604.0140000000001</v>
      </c>
      <c r="F405" s="313">
        <f t="shared" si="39"/>
        <v>5878.610686</v>
      </c>
      <c r="G405" s="61" t="s">
        <v>142</v>
      </c>
      <c r="H405" s="61"/>
      <c r="I405" s="61"/>
      <c r="J405" s="119">
        <v>7345</v>
      </c>
      <c r="K405" s="64">
        <f t="shared" si="40"/>
        <v>9451.5460000000003</v>
      </c>
      <c r="L405" s="313">
        <f t="shared" si="44"/>
        <v>9914.6717539999991</v>
      </c>
      <c r="M405" s="61"/>
      <c r="N405" s="56"/>
      <c r="O405" s="61"/>
      <c r="P405" s="61"/>
      <c r="Q405" s="61"/>
      <c r="R405" s="69"/>
    </row>
    <row r="406" spans="1:18" ht="15" thickBot="1">
      <c r="A406" s="4" t="s">
        <v>147</v>
      </c>
      <c r="B406" s="34"/>
      <c r="C406" s="34"/>
      <c r="D406" s="112">
        <v>11400</v>
      </c>
      <c r="E406" s="64">
        <f t="shared" si="43"/>
        <v>14669.519999999999</v>
      </c>
      <c r="F406" s="313">
        <f t="shared" si="39"/>
        <v>15388.326479999998</v>
      </c>
      <c r="G406" s="118" t="s">
        <v>144</v>
      </c>
      <c r="H406" s="118"/>
      <c r="I406" s="118"/>
      <c r="J406" s="119">
        <v>4988</v>
      </c>
      <c r="K406" s="64">
        <f t="shared" si="40"/>
        <v>6418.5583999999999</v>
      </c>
      <c r="L406" s="313">
        <f t="shared" si="44"/>
        <v>6733.0677615999994</v>
      </c>
      <c r="M406" s="61"/>
      <c r="N406" s="56"/>
      <c r="O406" s="61"/>
      <c r="P406" s="61"/>
      <c r="Q406" s="61"/>
      <c r="R406" s="61"/>
    </row>
    <row r="407" spans="1:18" ht="15" thickBot="1">
      <c r="A407" s="4" t="s">
        <v>292</v>
      </c>
      <c r="B407" s="34"/>
      <c r="C407" s="34"/>
      <c r="D407" s="112">
        <v>10835</v>
      </c>
      <c r="E407" s="64">
        <f t="shared" si="43"/>
        <v>13942.477999999999</v>
      </c>
      <c r="F407" s="313">
        <f t="shared" si="39"/>
        <v>14625.659421999999</v>
      </c>
      <c r="G407" s="120" t="s">
        <v>146</v>
      </c>
      <c r="H407" s="120"/>
      <c r="I407" s="120"/>
      <c r="J407" s="119">
        <v>5902</v>
      </c>
      <c r="K407" s="64">
        <f t="shared" si="40"/>
        <v>7594.6935999999996</v>
      </c>
      <c r="L407" s="313">
        <f t="shared" si="44"/>
        <v>7966.8335863999991</v>
      </c>
      <c r="M407" s="61"/>
      <c r="N407" s="56"/>
      <c r="O407" s="61"/>
      <c r="P407" s="61"/>
      <c r="Q407" s="61"/>
      <c r="R407" s="61"/>
    </row>
    <row r="408" spans="1:18" ht="15" thickBot="1">
      <c r="A408" s="4" t="s">
        <v>153</v>
      </c>
      <c r="B408" s="34"/>
      <c r="C408" s="34"/>
      <c r="D408" s="112">
        <v>1630</v>
      </c>
      <c r="E408" s="64">
        <f t="shared" si="43"/>
        <v>2097.4839999999999</v>
      </c>
      <c r="F408" s="313">
        <f t="shared" si="39"/>
        <v>2200.2607159999998</v>
      </c>
      <c r="G408" s="118" t="s">
        <v>148</v>
      </c>
      <c r="H408" s="118"/>
      <c r="I408" s="118"/>
      <c r="J408" s="119">
        <v>1695</v>
      </c>
      <c r="K408" s="64">
        <f t="shared" si="40"/>
        <v>2181.1259999999997</v>
      </c>
      <c r="L408" s="313">
        <f t="shared" si="44"/>
        <v>2288.0011739999995</v>
      </c>
      <c r="M408" s="61"/>
      <c r="N408" s="56"/>
      <c r="O408" s="61"/>
      <c r="P408" s="61"/>
      <c r="Q408" s="61"/>
      <c r="R408" s="61"/>
    </row>
    <row r="409" spans="1:18" ht="15" thickBot="1">
      <c r="A409" s="4" t="s">
        <v>293</v>
      </c>
      <c r="D409" s="112">
        <v>6510</v>
      </c>
      <c r="E409" s="64">
        <f t="shared" si="43"/>
        <v>8377.0679999999993</v>
      </c>
      <c r="F409" s="313">
        <f t="shared" si="39"/>
        <v>8787.5443319999995</v>
      </c>
      <c r="G409" s="61" t="s">
        <v>150</v>
      </c>
      <c r="H409" s="61"/>
      <c r="I409" s="61"/>
      <c r="J409" s="119">
        <v>3260</v>
      </c>
      <c r="K409" s="64">
        <f t="shared" si="40"/>
        <v>4194.9679999999998</v>
      </c>
      <c r="L409" s="313">
        <f t="shared" si="44"/>
        <v>4400.5214319999995</v>
      </c>
      <c r="M409" s="61" t="s">
        <v>738</v>
      </c>
      <c r="N409" s="56"/>
      <c r="O409" s="61"/>
      <c r="P409" s="61"/>
      <c r="Q409" s="61"/>
      <c r="R409" s="61"/>
    </row>
    <row r="410" spans="1:18" ht="15" thickBot="1">
      <c r="A410" s="4" t="s">
        <v>294</v>
      </c>
      <c r="D410" s="112">
        <v>4850</v>
      </c>
      <c r="E410" s="64">
        <f t="shared" si="43"/>
        <v>6240.98</v>
      </c>
      <c r="F410" s="313">
        <f t="shared" si="39"/>
        <v>6546.7880199999991</v>
      </c>
      <c r="G410" s="61" t="s">
        <v>152</v>
      </c>
      <c r="H410" s="61"/>
      <c r="I410" s="61"/>
      <c r="J410" s="119">
        <v>3160</v>
      </c>
      <c r="K410" s="64">
        <f t="shared" si="40"/>
        <v>4066.288</v>
      </c>
      <c r="L410" s="313">
        <f t="shared" si="44"/>
        <v>4265.5361119999998</v>
      </c>
      <c r="M410" s="61"/>
      <c r="N410" s="56"/>
      <c r="O410" s="61"/>
      <c r="P410" s="61"/>
      <c r="Q410" s="61"/>
      <c r="R410" s="61"/>
    </row>
    <row r="411" spans="1:18" ht="15" thickBot="1">
      <c r="A411" s="4"/>
      <c r="D411" s="71"/>
      <c r="E411" s="61"/>
      <c r="F411" s="61"/>
      <c r="G411" s="61" t="s">
        <v>154</v>
      </c>
      <c r="H411" s="61"/>
      <c r="I411" s="61"/>
      <c r="J411" s="119">
        <v>3410</v>
      </c>
      <c r="K411" s="64">
        <f t="shared" si="40"/>
        <v>4387.9879999999994</v>
      </c>
      <c r="L411" s="313">
        <f t="shared" si="44"/>
        <v>4602.9994119999992</v>
      </c>
      <c r="M411" s="61"/>
      <c r="N411" s="56"/>
      <c r="O411" s="61"/>
      <c r="P411" s="61"/>
      <c r="Q411" s="61"/>
      <c r="R411" s="61"/>
    </row>
    <row r="412" spans="1:18" ht="15" thickBot="1">
      <c r="A412" s="4"/>
      <c r="D412" s="56"/>
      <c r="E412" s="61"/>
      <c r="F412" s="61"/>
      <c r="G412" s="61" t="s">
        <v>156</v>
      </c>
      <c r="H412" s="61"/>
      <c r="I412" s="61"/>
      <c r="J412" s="119">
        <v>3710</v>
      </c>
      <c r="K412" s="64">
        <f t="shared" si="40"/>
        <v>4774.0279999999993</v>
      </c>
      <c r="L412" s="313">
        <f t="shared" si="44"/>
        <v>5007.9553719999985</v>
      </c>
      <c r="M412" s="61"/>
      <c r="N412" s="56"/>
      <c r="O412" s="61"/>
      <c r="P412" s="61"/>
      <c r="Q412" s="61"/>
      <c r="R412" s="61"/>
    </row>
    <row r="413" spans="1:18" ht="15" thickBot="1">
      <c r="A413" s="4"/>
      <c r="D413" s="14"/>
      <c r="F413" s="61"/>
      <c r="G413" s="61" t="s">
        <v>157</v>
      </c>
      <c r="H413" s="61"/>
      <c r="I413" s="61"/>
      <c r="J413" s="119">
        <v>4010</v>
      </c>
      <c r="K413" s="64">
        <f t="shared" si="40"/>
        <v>5160.0680000000002</v>
      </c>
      <c r="L413" s="313">
        <f t="shared" si="44"/>
        <v>5412.9113319999997</v>
      </c>
      <c r="M413" s="61"/>
      <c r="N413" s="56"/>
      <c r="O413" s="61"/>
      <c r="P413" s="61"/>
      <c r="Q413" s="61"/>
      <c r="R413" s="61"/>
    </row>
    <row r="414" spans="1:18" ht="15" thickBot="1">
      <c r="A414" s="1"/>
      <c r="D414" s="14"/>
      <c r="F414" s="61"/>
      <c r="G414" s="61" t="s">
        <v>158</v>
      </c>
      <c r="H414" s="61"/>
      <c r="I414" s="61"/>
      <c r="J414" s="119">
        <v>1688</v>
      </c>
      <c r="K414" s="64">
        <f t="shared" si="40"/>
        <v>2172.1183999999998</v>
      </c>
      <c r="L414" s="313">
        <f t="shared" si="44"/>
        <v>2278.5522015999995</v>
      </c>
      <c r="M414" s="61" t="s">
        <v>289</v>
      </c>
      <c r="N414" s="56"/>
      <c r="O414" s="61"/>
      <c r="P414" s="61"/>
      <c r="Q414" s="61"/>
      <c r="R414" s="61"/>
    </row>
    <row r="415" spans="1:18" ht="15" thickBot="1">
      <c r="A415" s="4"/>
      <c r="D415" s="14"/>
      <c r="F415" s="61"/>
      <c r="G415" s="61" t="s">
        <v>160</v>
      </c>
      <c r="H415" s="61"/>
      <c r="I415" s="61"/>
      <c r="J415" s="119">
        <v>1860</v>
      </c>
      <c r="K415" s="64">
        <f t="shared" si="40"/>
        <v>2393.4479999999999</v>
      </c>
      <c r="L415" s="313">
        <f t="shared" si="44"/>
        <v>2510.7269519999995</v>
      </c>
      <c r="M415" s="61"/>
      <c r="N415" s="56"/>
      <c r="O415" s="61"/>
      <c r="P415" s="61"/>
      <c r="Q415" s="61"/>
      <c r="R415" s="61"/>
    </row>
    <row r="416" spans="1:18" ht="15" thickBot="1">
      <c r="A416" s="1"/>
      <c r="C416" s="1"/>
      <c r="D416" s="15"/>
      <c r="F416" s="61"/>
      <c r="G416" s="61" t="s">
        <v>161</v>
      </c>
      <c r="H416" s="61"/>
      <c r="I416" s="61"/>
      <c r="J416" s="119">
        <v>1998</v>
      </c>
      <c r="K416" s="64">
        <f t="shared" si="40"/>
        <v>2571.0263999999997</v>
      </c>
      <c r="L416" s="313">
        <f t="shared" si="44"/>
        <v>2697.0066935999994</v>
      </c>
      <c r="M416" s="61"/>
      <c r="N416" s="56"/>
      <c r="O416" s="61"/>
      <c r="P416" s="61"/>
      <c r="Q416" s="61"/>
      <c r="R416" s="61"/>
    </row>
    <row r="417" spans="1:18" ht="15" thickBot="1">
      <c r="D417" s="14"/>
      <c r="F417" s="61"/>
      <c r="G417" s="61" t="s">
        <v>162</v>
      </c>
      <c r="H417" s="61"/>
      <c r="I417" s="61"/>
      <c r="J417" s="119">
        <v>2131</v>
      </c>
      <c r="K417" s="64">
        <f t="shared" si="40"/>
        <v>2742.1707999999999</v>
      </c>
      <c r="L417" s="313">
        <f t="shared" si="44"/>
        <v>2876.5371691999999</v>
      </c>
      <c r="M417" s="61"/>
      <c r="N417" s="56"/>
      <c r="O417" s="61"/>
      <c r="P417" s="61"/>
      <c r="Q417" s="61"/>
      <c r="R417" s="61"/>
    </row>
    <row r="418" spans="1:18">
      <c r="A418" s="1"/>
      <c r="C418" s="1"/>
      <c r="D418" s="15"/>
      <c r="F418" s="61"/>
      <c r="G418" s="61"/>
      <c r="H418" s="61"/>
      <c r="I418" s="61"/>
      <c r="J418" s="65"/>
      <c r="K418" s="61"/>
      <c r="L418" s="61"/>
      <c r="M418" s="61"/>
      <c r="N418" s="56"/>
      <c r="O418" s="61"/>
      <c r="P418" s="61"/>
      <c r="Q418" s="61"/>
      <c r="R418" s="61"/>
    </row>
    <row r="419" spans="1:18"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</row>
    <row r="420" spans="1:18"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</row>
    <row r="421" spans="1:18"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</row>
    <row r="422" spans="1:18"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</row>
    <row r="423" spans="1:18"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</row>
    <row r="424" spans="1:18"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</row>
    <row r="425" spans="1:18"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</row>
    <row r="426" spans="1:18"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</row>
    <row r="427" spans="1:18"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</row>
    <row r="428" spans="1:18"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</row>
    <row r="429" spans="1:18"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</row>
    <row r="430" spans="1:18"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</row>
    <row r="431" spans="1:18"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</row>
    <row r="432" spans="1:18"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</row>
    <row r="433" spans="6:18"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</row>
    <row r="434" spans="6:18"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</row>
    <row r="435" spans="6:18"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</row>
    <row r="436" spans="6:18">
      <c r="F436" s="61"/>
      <c r="G436" s="61"/>
      <c r="H436" s="61"/>
      <c r="I436" s="61"/>
      <c r="J436" s="61"/>
      <c r="K436" s="61"/>
      <c r="L436" s="61"/>
    </row>
    <row r="437" spans="6:18">
      <c r="F437" s="61"/>
      <c r="G437" s="61"/>
      <c r="H437" s="61"/>
      <c r="I437" s="61"/>
      <c r="J437" s="61"/>
      <c r="K437" s="61"/>
      <c r="L437" s="61"/>
    </row>
  </sheetData>
  <sheetProtection algorithmName="SHA-512" hashValue="JmD1QPc3aStBAoGkp40OOt+eMSFhw8bPZHYHwG3tRONAndjBvk1JeBG9b3oFXx5qCPKMcp6U0GrMDaQR8c8inA==" saltValue="xN161byK73Vq9J044UASIA==" spinCount="100000" sheet="1" objects="1" scenarios="1"/>
  <pageMargins left="0.7" right="0.7" top="0.75" bottom="0.75" header="0.3" footer="0.3"/>
  <pageSetup orientation="portrait" horizont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B227-F3CF-456C-B598-5282EA983D32}">
  <dimension ref="A2:U369"/>
  <sheetViews>
    <sheetView topLeftCell="A161" workbookViewId="0">
      <selection activeCell="F18" sqref="F18"/>
    </sheetView>
  </sheetViews>
  <sheetFormatPr defaultRowHeight="14.4"/>
  <cols>
    <col min="2" max="2" width="45.33203125" bestFit="1" customWidth="1"/>
    <col min="3" max="3" width="20.6640625" bestFit="1" customWidth="1"/>
    <col min="4" max="4" width="12" customWidth="1"/>
    <col min="5" max="5" width="12.33203125" customWidth="1"/>
    <col min="6" max="6" width="10.33203125" customWidth="1"/>
    <col min="7" max="9" width="44.33203125" bestFit="1" customWidth="1"/>
    <col min="10" max="10" width="10.5546875" customWidth="1"/>
    <col min="11" max="11" width="27.6640625" customWidth="1"/>
    <col min="12" max="12" width="9.33203125" customWidth="1"/>
    <col min="13" max="13" width="25" customWidth="1"/>
    <col min="14" max="14" width="11.88671875" customWidth="1"/>
  </cols>
  <sheetData>
    <row r="2" spans="2:10">
      <c r="F2" s="1" t="s">
        <v>345</v>
      </c>
      <c r="J2" s="1"/>
    </row>
    <row r="3" spans="2:10">
      <c r="B3" s="1" t="s">
        <v>223</v>
      </c>
      <c r="I3" s="1"/>
      <c r="J3" s="1"/>
    </row>
    <row r="4" spans="2:10">
      <c r="F4" s="20" t="s">
        <v>730</v>
      </c>
      <c r="G4" s="48"/>
      <c r="H4" s="7"/>
    </row>
    <row r="5" spans="2:10" ht="15" thickBot="1">
      <c r="B5" s="1" t="s">
        <v>1</v>
      </c>
      <c r="C5" s="2" t="s">
        <v>318</v>
      </c>
      <c r="D5" s="1" t="s">
        <v>745</v>
      </c>
      <c r="F5" s="20" t="s">
        <v>731</v>
      </c>
      <c r="G5" s="48"/>
      <c r="H5" s="7"/>
    </row>
    <row r="6" spans="2:10">
      <c r="D6" s="1" t="s">
        <v>746</v>
      </c>
    </row>
    <row r="7" spans="2:10" ht="16.2" thickBot="1">
      <c r="B7" s="1" t="s">
        <v>2</v>
      </c>
      <c r="C7" s="2" t="s">
        <v>319</v>
      </c>
      <c r="D7" s="1" t="s">
        <v>747</v>
      </c>
      <c r="F7" s="314"/>
      <c r="G7" s="1" t="s">
        <v>954</v>
      </c>
    </row>
    <row r="9" spans="2:10">
      <c r="B9" s="1" t="s">
        <v>320</v>
      </c>
      <c r="C9" s="1"/>
      <c r="D9" s="1"/>
      <c r="E9" s="1"/>
      <c r="F9" s="1" t="s">
        <v>321</v>
      </c>
    </row>
    <row r="10" spans="2:10" ht="15" thickBot="1">
      <c r="B10" s="18" t="s">
        <v>322</v>
      </c>
      <c r="C10" s="2" t="s">
        <v>32</v>
      </c>
      <c r="D10" s="1"/>
      <c r="E10" s="1"/>
    </row>
    <row r="11" spans="2:10" ht="15" thickBot="1">
      <c r="B11" s="18" t="s">
        <v>323</v>
      </c>
      <c r="C11" s="2" t="s">
        <v>32</v>
      </c>
      <c r="D11" s="1"/>
      <c r="E11" s="1"/>
      <c r="F11" s="1" t="s">
        <v>320</v>
      </c>
      <c r="G11" s="1"/>
    </row>
    <row r="12" spans="2:10" ht="15" thickBot="1">
      <c r="F12" s="18" t="s">
        <v>322</v>
      </c>
      <c r="G12" s="2" t="s">
        <v>32</v>
      </c>
    </row>
    <row r="13" spans="2:10" ht="15" thickBot="1">
      <c r="B13" s="1" t="s">
        <v>324</v>
      </c>
      <c r="C13" s="1"/>
      <c r="D13" s="1"/>
      <c r="E13" s="1"/>
      <c r="F13" s="18" t="s">
        <v>323</v>
      </c>
      <c r="G13" s="2" t="s">
        <v>32</v>
      </c>
    </row>
    <row r="14" spans="2:10" ht="15" thickBot="1">
      <c r="B14" s="18" t="s">
        <v>325</v>
      </c>
      <c r="C14" s="2" t="s">
        <v>32</v>
      </c>
      <c r="D14" s="1"/>
      <c r="E14" s="1"/>
    </row>
    <row r="15" spans="2:10" ht="15" thickBot="1">
      <c r="B15" s="18" t="s">
        <v>326</v>
      </c>
      <c r="C15" s="2" t="s">
        <v>32</v>
      </c>
      <c r="D15" s="1"/>
      <c r="E15" s="1"/>
      <c r="F15" s="1" t="s">
        <v>324</v>
      </c>
      <c r="G15" s="1"/>
    </row>
    <row r="16" spans="2:10" ht="15" thickBot="1">
      <c r="F16" s="18" t="s">
        <v>325</v>
      </c>
      <c r="G16" s="2" t="s">
        <v>32</v>
      </c>
    </row>
    <row r="17" spans="1:21" ht="15" thickBot="1">
      <c r="B17" s="1" t="s">
        <v>327</v>
      </c>
      <c r="F17" s="18" t="s">
        <v>326</v>
      </c>
      <c r="G17" s="2" t="s">
        <v>32</v>
      </c>
    </row>
    <row r="18" spans="1:21" ht="15" thickBot="1">
      <c r="B18" s="18" t="s">
        <v>328</v>
      </c>
      <c r="C18" s="84">
        <v>113511</v>
      </c>
      <c r="D18" s="61"/>
      <c r="E18" s="64">
        <f>124534+4775</f>
        <v>129309</v>
      </c>
      <c r="F18" s="313">
        <f>+E18*1.053</f>
        <v>136162.37699999998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21" ht="15" thickBot="1">
      <c r="B19" s="18" t="s">
        <v>329</v>
      </c>
      <c r="C19" s="84">
        <v>111347</v>
      </c>
      <c r="D19" s="61"/>
      <c r="E19" s="64">
        <f>122314+4775</f>
        <v>127089</v>
      </c>
      <c r="F19" s="313">
        <f>+E19*1.053</f>
        <v>133824.717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21"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  <row r="21" spans="1:21">
      <c r="C21" s="103"/>
      <c r="D21" s="103"/>
      <c r="E21" s="134"/>
      <c r="F21" s="61"/>
      <c r="G21" s="61"/>
      <c r="H21" s="61"/>
      <c r="I21" s="61"/>
      <c r="J21" s="61"/>
      <c r="K21" s="134"/>
      <c r="L21" s="61"/>
      <c r="M21" s="61"/>
      <c r="N21" s="61"/>
      <c r="O21" s="61"/>
      <c r="P21" s="61"/>
      <c r="Q21" s="61"/>
    </row>
    <row r="22" spans="1:21" ht="15" thickBot="1">
      <c r="A22">
        <v>1</v>
      </c>
      <c r="B22" s="4" t="s">
        <v>23</v>
      </c>
      <c r="C22" s="84">
        <v>1365</v>
      </c>
      <c r="D22" s="85">
        <v>1735.5</v>
      </c>
      <c r="E22" s="313">
        <f t="shared" ref="E22:E65" si="0">+D22*1.053</f>
        <v>1827.4814999999999</v>
      </c>
      <c r="F22" s="103"/>
      <c r="G22" s="61">
        <v>60</v>
      </c>
      <c r="H22" s="118" t="s">
        <v>24</v>
      </c>
      <c r="I22" s="84" t="s">
        <v>209</v>
      </c>
      <c r="J22" s="86" t="s">
        <v>209</v>
      </c>
      <c r="K22" s="313"/>
      <c r="L22" s="61"/>
      <c r="M22" s="61">
        <v>130</v>
      </c>
      <c r="N22" s="61" t="s">
        <v>277</v>
      </c>
      <c r="O22" s="84" t="s">
        <v>209</v>
      </c>
      <c r="P22" s="86" t="s">
        <v>209</v>
      </c>
      <c r="Q22" s="313"/>
      <c r="S22" s="61" t="s">
        <v>333</v>
      </c>
      <c r="T22" s="61"/>
      <c r="U22" s="61"/>
    </row>
    <row r="23" spans="1:21" ht="15" thickBot="1">
      <c r="A23">
        <v>2</v>
      </c>
      <c r="B23" s="4" t="s">
        <v>26</v>
      </c>
      <c r="C23" s="84">
        <v>1045</v>
      </c>
      <c r="D23" s="127">
        <v>1365</v>
      </c>
      <c r="E23" s="313">
        <f t="shared" si="0"/>
        <v>1437.3449999999998</v>
      </c>
      <c r="F23" s="103"/>
      <c r="G23" s="61">
        <v>61</v>
      </c>
      <c r="H23" s="118" t="s">
        <v>30</v>
      </c>
      <c r="I23" s="84" t="s">
        <v>209</v>
      </c>
      <c r="J23" s="86" t="s">
        <v>209</v>
      </c>
      <c r="K23" s="313"/>
      <c r="L23" s="61"/>
      <c r="M23" s="61">
        <v>131</v>
      </c>
      <c r="N23" s="61" t="s">
        <v>280</v>
      </c>
      <c r="O23" s="84" t="s">
        <v>209</v>
      </c>
      <c r="P23" s="128" t="s">
        <v>32</v>
      </c>
      <c r="Q23" s="313"/>
      <c r="S23" s="61" t="s">
        <v>333</v>
      </c>
      <c r="T23" s="61"/>
      <c r="U23" s="61"/>
    </row>
    <row r="24" spans="1:21" ht="15" thickBot="1">
      <c r="A24">
        <v>3</v>
      </c>
      <c r="B24" s="4" t="s">
        <v>29</v>
      </c>
      <c r="C24" s="84">
        <v>690</v>
      </c>
      <c r="D24" s="127">
        <v>962</v>
      </c>
      <c r="E24" s="313">
        <f t="shared" si="0"/>
        <v>1012.986</v>
      </c>
      <c r="F24" s="103"/>
      <c r="G24" s="61">
        <v>62</v>
      </c>
      <c r="H24" s="118" t="s">
        <v>35</v>
      </c>
      <c r="I24" s="84" t="s">
        <v>209</v>
      </c>
      <c r="J24" s="86" t="s">
        <v>209</v>
      </c>
      <c r="K24" s="313"/>
      <c r="L24" s="61"/>
      <c r="M24" s="61">
        <v>132</v>
      </c>
      <c r="N24" s="61" t="s">
        <v>330</v>
      </c>
      <c r="O24" s="84">
        <v>2915</v>
      </c>
      <c r="P24" s="86">
        <v>3445</v>
      </c>
      <c r="Q24" s="313">
        <f t="shared" ref="Q24:Q26" si="1">+P24*1.053</f>
        <v>3627.5849999999996</v>
      </c>
      <c r="S24" s="61"/>
      <c r="T24" s="61"/>
      <c r="U24" s="61"/>
    </row>
    <row r="25" spans="1:21" ht="15" thickBot="1">
      <c r="A25">
        <v>4</v>
      </c>
      <c r="B25" s="4" t="s">
        <v>34</v>
      </c>
      <c r="C25" s="84">
        <v>735</v>
      </c>
      <c r="D25" s="127">
        <v>819</v>
      </c>
      <c r="E25" s="313">
        <f t="shared" si="0"/>
        <v>862.40699999999993</v>
      </c>
      <c r="F25" s="103"/>
      <c r="G25" s="61">
        <v>63</v>
      </c>
      <c r="H25" s="118" t="s">
        <v>42</v>
      </c>
      <c r="I25" s="84">
        <v>1065</v>
      </c>
      <c r="J25" s="64">
        <v>1384.5</v>
      </c>
      <c r="K25" s="313">
        <f t="shared" ref="K25:K85" si="2">+J25*1.053</f>
        <v>1457.8784999999998</v>
      </c>
      <c r="L25" s="61"/>
      <c r="M25" s="61">
        <v>133</v>
      </c>
      <c r="N25" s="118" t="s">
        <v>31</v>
      </c>
      <c r="O25" s="84">
        <v>1130</v>
      </c>
      <c r="P25" s="86">
        <v>1456</v>
      </c>
      <c r="Q25" s="313">
        <f t="shared" si="1"/>
        <v>1533.1679999999999</v>
      </c>
      <c r="S25" s="61" t="s">
        <v>33</v>
      </c>
      <c r="T25" s="61"/>
      <c r="U25" s="61"/>
    </row>
    <row r="26" spans="1:21" ht="15" thickBot="1">
      <c r="A26">
        <v>5</v>
      </c>
      <c r="B26" s="4" t="s">
        <v>37</v>
      </c>
      <c r="C26" s="84">
        <v>1170</v>
      </c>
      <c r="D26" s="127">
        <v>1287</v>
      </c>
      <c r="E26" s="313">
        <f t="shared" si="0"/>
        <v>1355.211</v>
      </c>
      <c r="F26" s="103"/>
      <c r="G26" s="61">
        <v>64</v>
      </c>
      <c r="H26" s="118" t="s">
        <v>44</v>
      </c>
      <c r="I26" s="84">
        <v>1500</v>
      </c>
      <c r="J26" s="128">
        <v>1950</v>
      </c>
      <c r="K26" s="313">
        <f t="shared" si="2"/>
        <v>2053.35</v>
      </c>
      <c r="L26" s="61"/>
      <c r="M26" s="61">
        <v>134</v>
      </c>
      <c r="N26" s="135" t="s">
        <v>36</v>
      </c>
      <c r="O26" s="84">
        <v>365</v>
      </c>
      <c r="P26" s="86">
        <v>474.5</v>
      </c>
      <c r="Q26" s="313">
        <f t="shared" si="1"/>
        <v>499.64849999999996</v>
      </c>
      <c r="S26" s="61" t="s">
        <v>33</v>
      </c>
      <c r="T26" s="61"/>
      <c r="U26" s="61"/>
    </row>
    <row r="27" spans="1:21" ht="15" thickBot="1">
      <c r="A27">
        <v>6</v>
      </c>
      <c r="B27" s="4" t="s">
        <v>39</v>
      </c>
      <c r="C27" s="84">
        <v>1830</v>
      </c>
      <c r="D27" s="127">
        <v>2008.5</v>
      </c>
      <c r="E27" s="313">
        <f t="shared" si="0"/>
        <v>2114.9504999999999</v>
      </c>
      <c r="F27" s="103"/>
      <c r="G27" s="61">
        <v>65</v>
      </c>
      <c r="H27" s="118" t="s">
        <v>46</v>
      </c>
      <c r="I27" s="84">
        <v>490</v>
      </c>
      <c r="J27" s="128">
        <v>637</v>
      </c>
      <c r="K27" s="313">
        <f t="shared" si="2"/>
        <v>670.76099999999997</v>
      </c>
      <c r="L27" s="61"/>
      <c r="M27" s="61">
        <v>135</v>
      </c>
      <c r="N27" s="61" t="s">
        <v>331</v>
      </c>
      <c r="O27" s="84"/>
      <c r="P27" s="128" t="s">
        <v>209</v>
      </c>
      <c r="Q27" s="313"/>
      <c r="S27" s="61" t="s">
        <v>210</v>
      </c>
      <c r="T27" s="61"/>
      <c r="U27" s="61"/>
    </row>
    <row r="28" spans="1:21" ht="15" thickBot="1">
      <c r="A28">
        <v>7</v>
      </c>
      <c r="B28" s="4" t="s">
        <v>41</v>
      </c>
      <c r="C28" s="84">
        <v>1330</v>
      </c>
      <c r="D28" s="127">
        <v>1592.5</v>
      </c>
      <c r="E28" s="313">
        <f t="shared" si="0"/>
        <v>1676.9024999999999</v>
      </c>
      <c r="F28" s="103"/>
      <c r="G28" s="61">
        <v>66</v>
      </c>
      <c r="H28" s="118" t="s">
        <v>48</v>
      </c>
      <c r="I28" s="84">
        <v>1500</v>
      </c>
      <c r="J28" s="128">
        <v>1950</v>
      </c>
      <c r="K28" s="313">
        <f t="shared" si="2"/>
        <v>2053.35</v>
      </c>
      <c r="L28" s="61"/>
      <c r="M28" s="61"/>
      <c r="N28" s="61"/>
      <c r="O28" s="61"/>
      <c r="P28" s="61"/>
      <c r="Q28" s="61"/>
      <c r="R28" s="61"/>
    </row>
    <row r="29" spans="1:21" ht="15" thickBot="1">
      <c r="A29">
        <v>8</v>
      </c>
      <c r="B29" s="4" t="s">
        <v>43</v>
      </c>
      <c r="C29" s="84">
        <v>1545</v>
      </c>
      <c r="D29" s="127">
        <v>2054</v>
      </c>
      <c r="E29" s="313">
        <f t="shared" si="0"/>
        <v>2162.8620000000001</v>
      </c>
      <c r="F29" s="103"/>
      <c r="G29" s="61">
        <v>67</v>
      </c>
      <c r="H29" s="118" t="s">
        <v>50</v>
      </c>
      <c r="I29" s="84">
        <v>475</v>
      </c>
      <c r="J29" s="128">
        <v>617.5</v>
      </c>
      <c r="K29" s="313">
        <f t="shared" si="2"/>
        <v>650.22749999999996</v>
      </c>
      <c r="L29" s="61"/>
      <c r="M29" s="61"/>
      <c r="N29" s="61"/>
      <c r="O29" s="61"/>
      <c r="P29" s="61"/>
      <c r="Q29" s="61"/>
      <c r="R29" s="61"/>
    </row>
    <row r="30" spans="1:21" ht="15" thickBot="1">
      <c r="A30">
        <v>9</v>
      </c>
      <c r="B30" s="4" t="s">
        <v>45</v>
      </c>
      <c r="C30" s="84">
        <v>-120</v>
      </c>
      <c r="D30" s="127">
        <v>-156</v>
      </c>
      <c r="E30" s="313">
        <f t="shared" si="0"/>
        <v>-164.268</v>
      </c>
      <c r="F30" s="61"/>
      <c r="G30" s="61">
        <v>68</v>
      </c>
      <c r="H30" s="118" t="s">
        <v>52</v>
      </c>
      <c r="I30" s="84">
        <v>825</v>
      </c>
      <c r="J30" s="86">
        <v>1072.5</v>
      </c>
      <c r="K30" s="313">
        <f t="shared" si="2"/>
        <v>1129.3425</v>
      </c>
      <c r="L30" s="61"/>
      <c r="M30" s="61"/>
      <c r="N30" s="61"/>
      <c r="O30" s="61"/>
      <c r="P30" s="61"/>
      <c r="Q30" s="61"/>
      <c r="R30" s="61"/>
    </row>
    <row r="31" spans="1:21" ht="15" thickBot="1">
      <c r="A31">
        <v>10</v>
      </c>
      <c r="B31" s="4" t="s">
        <v>47</v>
      </c>
      <c r="C31" s="84" t="s">
        <v>32</v>
      </c>
      <c r="D31" s="86" t="s">
        <v>32</v>
      </c>
      <c r="E31" s="313"/>
      <c r="F31" s="61"/>
      <c r="G31" s="61">
        <v>69</v>
      </c>
      <c r="H31" s="118" t="s">
        <v>54</v>
      </c>
      <c r="I31" s="84" t="s">
        <v>57</v>
      </c>
      <c r="J31" s="86" t="s">
        <v>208</v>
      </c>
      <c r="K31" s="313"/>
      <c r="L31" s="61"/>
      <c r="M31" s="61"/>
      <c r="N31" s="61"/>
      <c r="O31" s="61"/>
      <c r="P31" s="61"/>
      <c r="Q31" s="61"/>
      <c r="R31" s="61"/>
    </row>
    <row r="32" spans="1:21" ht="15" thickBot="1">
      <c r="A32">
        <v>11</v>
      </c>
      <c r="B32" t="s">
        <v>211</v>
      </c>
      <c r="C32" s="84" t="s">
        <v>32</v>
      </c>
      <c r="D32" s="128" t="s">
        <v>32</v>
      </c>
      <c r="E32" s="313"/>
      <c r="F32" s="61"/>
      <c r="G32" s="61">
        <v>70</v>
      </c>
      <c r="H32" s="118" t="s">
        <v>56</v>
      </c>
      <c r="I32" s="84" t="s">
        <v>57</v>
      </c>
      <c r="J32" s="86" t="s">
        <v>208</v>
      </c>
      <c r="K32" s="313"/>
      <c r="L32" s="61"/>
      <c r="M32" s="61"/>
      <c r="N32" s="61"/>
      <c r="O32" s="61"/>
      <c r="P32" s="61"/>
      <c r="Q32" s="61"/>
      <c r="R32" s="61"/>
    </row>
    <row r="33" spans="1:18" ht="15" thickBot="1">
      <c r="A33">
        <v>12</v>
      </c>
      <c r="B33" s="4" t="s">
        <v>51</v>
      </c>
      <c r="C33" s="84" t="s">
        <v>32</v>
      </c>
      <c r="D33" s="128" t="s">
        <v>32</v>
      </c>
      <c r="E33" s="313"/>
      <c r="F33" s="61"/>
      <c r="G33" s="61">
        <v>71</v>
      </c>
      <c r="H33" s="118" t="s">
        <v>59</v>
      </c>
      <c r="I33" s="84">
        <v>402</v>
      </c>
      <c r="J33" s="128">
        <v>475</v>
      </c>
      <c r="K33" s="313">
        <f t="shared" si="2"/>
        <v>500.17499999999995</v>
      </c>
      <c r="L33" s="61"/>
      <c r="M33" s="61"/>
      <c r="N33" s="61"/>
      <c r="O33" s="61"/>
      <c r="P33" s="61"/>
      <c r="Q33" s="61"/>
      <c r="R33" s="61"/>
    </row>
    <row r="34" spans="1:18" ht="15" thickBot="1">
      <c r="A34">
        <v>13</v>
      </c>
      <c r="B34" s="4" t="s">
        <v>332</v>
      </c>
      <c r="C34" s="84" t="s">
        <v>32</v>
      </c>
      <c r="D34" s="128" t="s">
        <v>32</v>
      </c>
      <c r="E34" s="313"/>
      <c r="F34" s="61"/>
      <c r="G34" s="61">
        <v>72</v>
      </c>
      <c r="H34" s="118" t="s">
        <v>61</v>
      </c>
      <c r="I34" s="84" t="s">
        <v>209</v>
      </c>
      <c r="J34" s="128" t="s">
        <v>209</v>
      </c>
      <c r="K34" s="313"/>
      <c r="L34" s="61" t="s">
        <v>333</v>
      </c>
      <c r="M34" s="61"/>
      <c r="N34" s="61"/>
      <c r="O34" s="61"/>
      <c r="P34" s="61"/>
      <c r="Q34" s="61"/>
      <c r="R34" s="61"/>
    </row>
    <row r="35" spans="1:18" ht="15" thickBot="1">
      <c r="A35">
        <v>14</v>
      </c>
      <c r="B35" s="4" t="s">
        <v>55</v>
      </c>
      <c r="C35" s="84" t="s">
        <v>32</v>
      </c>
      <c r="D35" s="128" t="s">
        <v>32</v>
      </c>
      <c r="E35" s="313"/>
      <c r="F35" s="61"/>
      <c r="G35" s="61">
        <v>73</v>
      </c>
      <c r="H35" s="118" t="s">
        <v>63</v>
      </c>
      <c r="I35" s="84" t="s">
        <v>209</v>
      </c>
      <c r="J35" s="128" t="s">
        <v>209</v>
      </c>
      <c r="K35" s="313"/>
      <c r="L35" s="61" t="s">
        <v>333</v>
      </c>
      <c r="M35" s="61"/>
      <c r="N35" s="61"/>
      <c r="O35" s="61"/>
      <c r="P35" s="61"/>
      <c r="Q35" s="61"/>
      <c r="R35" s="61"/>
    </row>
    <row r="36" spans="1:18" ht="15" thickBot="1">
      <c r="A36">
        <v>15</v>
      </c>
      <c r="B36" s="4" t="s">
        <v>334</v>
      </c>
      <c r="C36" s="84" t="s">
        <v>208</v>
      </c>
      <c r="D36" s="86" t="s">
        <v>208</v>
      </c>
      <c r="E36" s="313"/>
      <c r="F36" s="61"/>
      <c r="G36" s="61">
        <v>74</v>
      </c>
      <c r="H36" s="118" t="s">
        <v>65</v>
      </c>
      <c r="I36" s="84" t="s">
        <v>57</v>
      </c>
      <c r="J36" s="128" t="s">
        <v>208</v>
      </c>
      <c r="K36" s="313"/>
      <c r="L36" s="61"/>
      <c r="M36" s="61"/>
      <c r="N36" s="61"/>
      <c r="O36" s="61"/>
      <c r="P36" s="61"/>
      <c r="Q36" s="61"/>
      <c r="R36" s="61"/>
    </row>
    <row r="37" spans="1:18" ht="15" thickBot="1">
      <c r="A37">
        <v>16</v>
      </c>
      <c r="B37" s="4" t="s">
        <v>60</v>
      </c>
      <c r="C37" s="84">
        <v>60</v>
      </c>
      <c r="D37" s="127">
        <v>97.5</v>
      </c>
      <c r="E37" s="313">
        <f t="shared" si="0"/>
        <v>102.66749999999999</v>
      </c>
      <c r="F37" s="61"/>
      <c r="G37" s="61">
        <v>75</v>
      </c>
      <c r="H37" s="118" t="s">
        <v>67</v>
      </c>
      <c r="I37" s="84">
        <v>259</v>
      </c>
      <c r="J37" s="128">
        <v>336.7</v>
      </c>
      <c r="K37" s="313">
        <f t="shared" si="2"/>
        <v>354.54509999999999</v>
      </c>
      <c r="L37" s="61"/>
      <c r="M37" s="61"/>
      <c r="N37" s="61"/>
      <c r="O37" s="61"/>
      <c r="P37" s="61"/>
      <c r="Q37" s="61"/>
      <c r="R37" s="61"/>
    </row>
    <row r="38" spans="1:18" ht="15" thickBot="1">
      <c r="A38">
        <v>17</v>
      </c>
      <c r="B38" t="s">
        <v>62</v>
      </c>
      <c r="C38" s="84">
        <v>60</v>
      </c>
      <c r="D38" s="127">
        <v>97.5</v>
      </c>
      <c r="E38" s="313">
        <f t="shared" si="0"/>
        <v>102.66749999999999</v>
      </c>
      <c r="F38" s="61"/>
      <c r="G38" s="61">
        <v>76</v>
      </c>
      <c r="H38" s="118" t="s">
        <v>69</v>
      </c>
      <c r="I38" s="84" t="s">
        <v>32</v>
      </c>
      <c r="J38" s="128" t="s">
        <v>32</v>
      </c>
      <c r="K38" s="313"/>
      <c r="L38" s="61"/>
      <c r="M38" s="61"/>
      <c r="N38" s="61"/>
      <c r="O38" s="61"/>
      <c r="P38" s="61"/>
      <c r="Q38" s="61"/>
      <c r="R38" s="61"/>
    </row>
    <row r="39" spans="1:18" ht="15" thickBot="1">
      <c r="A39">
        <v>18</v>
      </c>
      <c r="B39" t="s">
        <v>64</v>
      </c>
      <c r="C39" s="84">
        <v>90</v>
      </c>
      <c r="D39" s="127">
        <v>175.5</v>
      </c>
      <c r="E39" s="313">
        <f t="shared" si="0"/>
        <v>184.80149999999998</v>
      </c>
      <c r="F39" s="61"/>
      <c r="G39" s="61">
        <v>77</v>
      </c>
      <c r="H39" s="118" t="s">
        <v>71</v>
      </c>
      <c r="I39" s="84">
        <v>490</v>
      </c>
      <c r="J39" s="128">
        <v>299</v>
      </c>
      <c r="K39" s="313">
        <f t="shared" si="2"/>
        <v>314.84699999999998</v>
      </c>
      <c r="L39" s="61"/>
      <c r="M39" s="61"/>
      <c r="N39" s="61"/>
      <c r="O39" s="61"/>
      <c r="P39" s="61"/>
      <c r="Q39" s="61"/>
      <c r="R39" s="61"/>
    </row>
    <row r="40" spans="1:18" ht="15" thickBot="1">
      <c r="A40">
        <v>19</v>
      </c>
      <c r="B40" t="s">
        <v>66</v>
      </c>
      <c r="C40" s="84">
        <v>70</v>
      </c>
      <c r="D40" s="127">
        <v>97.5</v>
      </c>
      <c r="E40" s="313">
        <f t="shared" si="0"/>
        <v>102.66749999999999</v>
      </c>
      <c r="F40" s="61"/>
      <c r="G40" s="61">
        <v>78</v>
      </c>
      <c r="H40" s="118" t="s">
        <v>73</v>
      </c>
      <c r="I40" s="84" t="s">
        <v>32</v>
      </c>
      <c r="J40" s="128" t="s">
        <v>32</v>
      </c>
      <c r="K40" s="313"/>
      <c r="L40" s="61"/>
      <c r="M40" s="61"/>
      <c r="N40" s="61"/>
      <c r="O40" s="61"/>
      <c r="P40" s="61"/>
      <c r="Q40" s="61"/>
      <c r="R40" s="61"/>
    </row>
    <row r="41" spans="1:18" ht="15" thickBot="1">
      <c r="A41">
        <v>20</v>
      </c>
      <c r="B41" t="s">
        <v>68</v>
      </c>
      <c r="C41" s="84">
        <v>75</v>
      </c>
      <c r="D41" s="127">
        <v>188.5</v>
      </c>
      <c r="E41" s="313">
        <f t="shared" si="0"/>
        <v>198.4905</v>
      </c>
      <c r="F41" s="61"/>
      <c r="G41" s="61">
        <v>79</v>
      </c>
      <c r="H41" s="118" t="s">
        <v>75</v>
      </c>
      <c r="I41" s="84" t="s">
        <v>57</v>
      </c>
      <c r="J41" s="128" t="s">
        <v>208</v>
      </c>
      <c r="K41" s="313"/>
      <c r="L41" s="61"/>
      <c r="M41" s="61"/>
      <c r="N41" s="61"/>
      <c r="O41" s="61"/>
      <c r="P41" s="61"/>
      <c r="Q41" s="61"/>
      <c r="R41" s="61"/>
    </row>
    <row r="42" spans="1:18" ht="15" thickBot="1">
      <c r="A42">
        <v>21</v>
      </c>
      <c r="B42" t="s">
        <v>70</v>
      </c>
      <c r="C42" s="84">
        <v>80</v>
      </c>
      <c r="D42" s="127">
        <v>136.5</v>
      </c>
      <c r="E42" s="313">
        <f t="shared" si="0"/>
        <v>143.7345</v>
      </c>
      <c r="F42" s="61"/>
      <c r="G42" s="61">
        <v>80</v>
      </c>
      <c r="H42" s="118" t="s">
        <v>78</v>
      </c>
      <c r="I42" s="84">
        <v>1200</v>
      </c>
      <c r="J42" s="128">
        <v>1033.5</v>
      </c>
      <c r="K42" s="313">
        <f t="shared" si="2"/>
        <v>1088.2755</v>
      </c>
      <c r="L42" s="61"/>
      <c r="M42" s="61"/>
      <c r="N42" s="61"/>
      <c r="O42" s="61"/>
      <c r="P42" s="61"/>
      <c r="Q42" s="61"/>
      <c r="R42" s="61"/>
    </row>
    <row r="43" spans="1:18" ht="15" thickBot="1">
      <c r="A43">
        <v>22</v>
      </c>
      <c r="B43" t="s">
        <v>72</v>
      </c>
      <c r="C43" s="84">
        <v>50</v>
      </c>
      <c r="D43" s="127">
        <v>65</v>
      </c>
      <c r="E43" s="313">
        <f t="shared" si="0"/>
        <v>68.444999999999993</v>
      </c>
      <c r="F43" s="61"/>
      <c r="G43" s="61">
        <v>81</v>
      </c>
      <c r="H43" s="118" t="s">
        <v>80</v>
      </c>
      <c r="I43" s="84" t="s">
        <v>57</v>
      </c>
      <c r="J43" s="128" t="s">
        <v>208</v>
      </c>
      <c r="K43" s="313"/>
      <c r="L43" s="61"/>
      <c r="M43" s="61"/>
      <c r="N43" s="61"/>
      <c r="O43" s="61"/>
      <c r="P43" s="61"/>
      <c r="Q43" s="61"/>
      <c r="R43" s="61"/>
    </row>
    <row r="44" spans="1:18" ht="15" thickBot="1">
      <c r="A44">
        <v>23</v>
      </c>
      <c r="B44" t="s">
        <v>74</v>
      </c>
      <c r="C44" s="84">
        <v>100</v>
      </c>
      <c r="D44" s="85">
        <v>130</v>
      </c>
      <c r="E44" s="313">
        <f t="shared" si="0"/>
        <v>136.88999999999999</v>
      </c>
      <c r="F44" s="61"/>
      <c r="G44" s="61">
        <v>82</v>
      </c>
      <c r="H44" s="118" t="s">
        <v>82</v>
      </c>
      <c r="I44" s="84">
        <v>225</v>
      </c>
      <c r="J44" s="128">
        <v>130</v>
      </c>
      <c r="K44" s="313">
        <f t="shared" si="2"/>
        <v>136.88999999999999</v>
      </c>
      <c r="L44" s="61"/>
      <c r="M44" s="61"/>
      <c r="N44" s="61"/>
      <c r="O44" s="61"/>
      <c r="P44" s="61"/>
      <c r="Q44" s="61"/>
      <c r="R44" s="61"/>
    </row>
    <row r="45" spans="1:18" ht="15" thickBot="1">
      <c r="A45">
        <v>24</v>
      </c>
      <c r="B45" t="s">
        <v>76</v>
      </c>
      <c r="C45" s="84">
        <v>1600</v>
      </c>
      <c r="D45" s="128" t="s">
        <v>209</v>
      </c>
      <c r="E45" s="313"/>
      <c r="F45" s="61"/>
      <c r="G45" s="61">
        <v>83</v>
      </c>
      <c r="H45" s="118" t="s">
        <v>84</v>
      </c>
      <c r="I45" s="84" t="s">
        <v>57</v>
      </c>
      <c r="J45" s="128" t="s">
        <v>208</v>
      </c>
      <c r="K45" s="313"/>
      <c r="L45" s="61"/>
      <c r="M45" s="61"/>
      <c r="N45" s="61"/>
      <c r="O45" s="61"/>
      <c r="P45" s="61"/>
      <c r="Q45" s="61"/>
      <c r="R45" s="61"/>
    </row>
    <row r="46" spans="1:18" ht="15" thickBot="1">
      <c r="A46">
        <v>25</v>
      </c>
      <c r="B46" s="4" t="s">
        <v>83</v>
      </c>
      <c r="C46" s="84">
        <v>175</v>
      </c>
      <c r="D46" s="127">
        <v>325</v>
      </c>
      <c r="E46" s="313">
        <f t="shared" si="0"/>
        <v>342.22499999999997</v>
      </c>
      <c r="F46" s="61" t="s">
        <v>216</v>
      </c>
      <c r="G46" s="61">
        <v>84</v>
      </c>
      <c r="H46" s="118" t="s">
        <v>86</v>
      </c>
      <c r="I46" s="84" t="s">
        <v>209</v>
      </c>
      <c r="J46" s="128" t="s">
        <v>32</v>
      </c>
      <c r="K46" s="313"/>
      <c r="L46" s="61"/>
      <c r="M46" s="61"/>
      <c r="N46" s="61"/>
      <c r="O46" s="61"/>
      <c r="P46" s="61"/>
      <c r="Q46" s="61"/>
      <c r="R46" s="61"/>
    </row>
    <row r="47" spans="1:18" ht="15" thickBot="1">
      <c r="A47">
        <v>26</v>
      </c>
      <c r="B47" s="4" t="s">
        <v>85</v>
      </c>
      <c r="C47" s="84">
        <v>975</v>
      </c>
      <c r="D47" s="127">
        <v>845</v>
      </c>
      <c r="E47" s="313">
        <f t="shared" si="0"/>
        <v>889.78499999999997</v>
      </c>
      <c r="F47" s="61"/>
      <c r="G47" s="61">
        <v>85</v>
      </c>
      <c r="H47" s="118" t="s">
        <v>88</v>
      </c>
      <c r="I47" s="84" t="s">
        <v>209</v>
      </c>
      <c r="J47" s="128" t="s">
        <v>32</v>
      </c>
      <c r="K47" s="313"/>
      <c r="L47" s="61"/>
      <c r="M47" s="61"/>
      <c r="N47" s="61"/>
      <c r="O47" s="61"/>
      <c r="P47" s="61"/>
      <c r="Q47" s="61"/>
      <c r="R47" s="61"/>
    </row>
    <row r="48" spans="1:18" ht="15" thickBot="1">
      <c r="A48">
        <v>27</v>
      </c>
      <c r="B48" s="4" t="s">
        <v>87</v>
      </c>
      <c r="C48" s="84">
        <v>975</v>
      </c>
      <c r="D48" s="127">
        <v>858</v>
      </c>
      <c r="E48" s="313">
        <f t="shared" si="0"/>
        <v>903.47399999999993</v>
      </c>
      <c r="F48" s="61"/>
      <c r="G48" s="61">
        <v>86</v>
      </c>
      <c r="H48" s="61" t="s">
        <v>90</v>
      </c>
      <c r="I48" s="84">
        <v>825</v>
      </c>
      <c r="J48" s="128" t="s">
        <v>209</v>
      </c>
      <c r="K48" s="313"/>
      <c r="L48" s="61" t="s">
        <v>217</v>
      </c>
      <c r="M48" s="61"/>
      <c r="N48" s="61"/>
      <c r="O48" s="61"/>
      <c r="P48" s="61"/>
      <c r="Q48" s="61"/>
      <c r="R48" s="61"/>
    </row>
    <row r="49" spans="1:18" ht="15" thickBot="1">
      <c r="A49">
        <v>28</v>
      </c>
      <c r="B49" s="4" t="s">
        <v>89</v>
      </c>
      <c r="C49" s="84">
        <v>1295</v>
      </c>
      <c r="D49" s="64">
        <v>1163.5</v>
      </c>
      <c r="E49" s="313">
        <f t="shared" si="0"/>
        <v>1225.1654999999998</v>
      </c>
      <c r="F49" s="61"/>
      <c r="G49" s="61">
        <v>87</v>
      </c>
      <c r="H49" s="61" t="s">
        <v>94</v>
      </c>
      <c r="I49" s="84">
        <v>375</v>
      </c>
      <c r="J49" s="128">
        <v>487.5</v>
      </c>
      <c r="K49" s="313">
        <f t="shared" si="2"/>
        <v>513.33749999999998</v>
      </c>
      <c r="L49" s="61"/>
      <c r="M49" s="61"/>
      <c r="N49" s="61"/>
      <c r="O49" s="61"/>
      <c r="P49" s="61"/>
      <c r="Q49" s="61"/>
      <c r="R49" s="61"/>
    </row>
    <row r="50" spans="1:18" ht="15" thickBot="1">
      <c r="A50">
        <v>29</v>
      </c>
      <c r="B50" t="s">
        <v>91</v>
      </c>
      <c r="C50" s="84">
        <v>-100</v>
      </c>
      <c r="D50" s="85">
        <v>-100</v>
      </c>
      <c r="E50" s="313">
        <f t="shared" si="0"/>
        <v>-105.3</v>
      </c>
      <c r="F50" s="61"/>
      <c r="G50" s="61">
        <v>88</v>
      </c>
      <c r="H50" s="61" t="s">
        <v>96</v>
      </c>
      <c r="I50" s="84" t="s">
        <v>32</v>
      </c>
      <c r="J50" s="128" t="s">
        <v>32</v>
      </c>
      <c r="K50" s="313"/>
      <c r="L50" s="61"/>
      <c r="M50" s="61"/>
      <c r="N50" s="61"/>
      <c r="O50" s="61"/>
      <c r="P50" s="61"/>
      <c r="Q50" s="61"/>
      <c r="R50" s="61"/>
    </row>
    <row r="51" spans="1:18" ht="15" thickBot="1">
      <c r="A51">
        <v>30</v>
      </c>
      <c r="B51" t="s">
        <v>93</v>
      </c>
      <c r="C51" s="84">
        <v>-100</v>
      </c>
      <c r="D51" s="127">
        <v>-100</v>
      </c>
      <c r="E51" s="313">
        <f t="shared" si="0"/>
        <v>-105.3</v>
      </c>
      <c r="F51" s="61"/>
      <c r="G51" s="61">
        <v>89</v>
      </c>
      <c r="H51" s="61" t="s">
        <v>302</v>
      </c>
      <c r="I51" s="84" t="s">
        <v>32</v>
      </c>
      <c r="J51" s="128" t="s">
        <v>32</v>
      </c>
      <c r="K51" s="313"/>
      <c r="L51" s="61"/>
      <c r="M51" s="61"/>
      <c r="N51" s="61"/>
      <c r="O51" s="61"/>
      <c r="P51" s="61"/>
      <c r="Q51" s="61"/>
      <c r="R51" s="61"/>
    </row>
    <row r="52" spans="1:18" ht="15" thickBot="1">
      <c r="A52">
        <v>31</v>
      </c>
      <c r="B52" t="s">
        <v>95</v>
      </c>
      <c r="C52" s="84">
        <v>1953</v>
      </c>
      <c r="D52" s="127">
        <v>2307.5</v>
      </c>
      <c r="E52" s="313">
        <f t="shared" si="0"/>
        <v>2429.7974999999997</v>
      </c>
      <c r="F52" s="61"/>
      <c r="G52" s="61">
        <v>90</v>
      </c>
      <c r="H52" s="118" t="s">
        <v>302</v>
      </c>
      <c r="I52" s="84" t="s">
        <v>32</v>
      </c>
      <c r="J52" s="128" t="s">
        <v>32</v>
      </c>
      <c r="K52" s="313"/>
      <c r="L52" s="61"/>
      <c r="M52" s="61"/>
      <c r="N52" s="61"/>
      <c r="O52" s="61"/>
      <c r="P52" s="61"/>
      <c r="Q52" s="61"/>
      <c r="R52" s="61"/>
    </row>
    <row r="53" spans="1:18" ht="15" thickBot="1">
      <c r="A53">
        <v>32</v>
      </c>
      <c r="B53" t="s">
        <v>97</v>
      </c>
      <c r="C53" s="84">
        <v>2915</v>
      </c>
      <c r="D53" s="127">
        <v>3445</v>
      </c>
      <c r="E53" s="313">
        <f t="shared" si="0"/>
        <v>3627.5849999999996</v>
      </c>
      <c r="F53" s="61"/>
      <c r="G53" s="61">
        <v>91</v>
      </c>
      <c r="H53" s="118" t="s">
        <v>100</v>
      </c>
      <c r="I53" s="84">
        <v>2805</v>
      </c>
      <c r="J53" s="128">
        <v>3867.5</v>
      </c>
      <c r="K53" s="313">
        <f t="shared" si="2"/>
        <v>4072.4775</v>
      </c>
      <c r="L53" s="61"/>
      <c r="M53" s="61"/>
      <c r="N53" s="61"/>
      <c r="O53" s="61"/>
      <c r="P53" s="61"/>
      <c r="Q53" s="61"/>
      <c r="R53" s="61"/>
    </row>
    <row r="54" spans="1:18" ht="15" thickBot="1">
      <c r="A54">
        <v>33</v>
      </c>
      <c r="B54" t="s">
        <v>99</v>
      </c>
      <c r="C54" s="84" t="s">
        <v>209</v>
      </c>
      <c r="D54" s="100" t="s">
        <v>32</v>
      </c>
      <c r="E54" s="313"/>
      <c r="F54" s="61"/>
      <c r="G54" s="61">
        <v>92</v>
      </c>
      <c r="H54" s="118" t="s">
        <v>102</v>
      </c>
      <c r="I54" s="84">
        <v>4725</v>
      </c>
      <c r="J54" s="128">
        <v>6142.5</v>
      </c>
      <c r="K54" s="313">
        <f t="shared" si="2"/>
        <v>6468.0524999999998</v>
      </c>
      <c r="L54" s="61"/>
      <c r="M54" s="61"/>
      <c r="N54" s="61"/>
      <c r="O54" s="136"/>
      <c r="P54" s="61"/>
      <c r="Q54" s="61"/>
      <c r="R54" s="61"/>
    </row>
    <row r="55" spans="1:18" ht="15" thickBot="1">
      <c r="A55">
        <v>34</v>
      </c>
      <c r="B55" t="s">
        <v>101</v>
      </c>
      <c r="C55" s="84" t="s">
        <v>209</v>
      </c>
      <c r="D55" s="86" t="s">
        <v>32</v>
      </c>
      <c r="E55" s="313"/>
      <c r="F55" s="61"/>
      <c r="G55" s="61">
        <v>93</v>
      </c>
      <c r="H55" s="118" t="s">
        <v>104</v>
      </c>
      <c r="I55" s="84">
        <v>7002</v>
      </c>
      <c r="J55" s="128">
        <v>8274.5</v>
      </c>
      <c r="K55" s="313">
        <f t="shared" si="2"/>
        <v>8713.048499999999</v>
      </c>
      <c r="L55" s="61"/>
      <c r="M55" s="61"/>
      <c r="N55" s="61"/>
      <c r="O55" s="136"/>
      <c r="P55" s="61"/>
      <c r="Q55" s="61"/>
      <c r="R55" s="61"/>
    </row>
    <row r="56" spans="1:18" ht="15" thickBot="1">
      <c r="A56">
        <v>35</v>
      </c>
      <c r="B56" t="s">
        <v>103</v>
      </c>
      <c r="C56" s="84">
        <v>30</v>
      </c>
      <c r="D56" s="127">
        <v>39</v>
      </c>
      <c r="E56" s="313">
        <f t="shared" si="0"/>
        <v>41.067</v>
      </c>
      <c r="F56" s="61"/>
      <c r="G56" s="61">
        <v>94</v>
      </c>
      <c r="H56" s="61" t="s">
        <v>106</v>
      </c>
      <c r="I56" s="84">
        <v>5275</v>
      </c>
      <c r="J56" s="128">
        <v>7013.5</v>
      </c>
      <c r="K56" s="313">
        <f t="shared" si="2"/>
        <v>7385.2154999999993</v>
      </c>
      <c r="L56" s="61"/>
      <c r="M56" s="61"/>
      <c r="N56" s="61"/>
      <c r="O56" s="136"/>
      <c r="P56" s="61"/>
      <c r="Q56" s="61"/>
      <c r="R56" s="61"/>
    </row>
    <row r="57" spans="1:18" ht="15" thickBot="1">
      <c r="A57">
        <v>36</v>
      </c>
      <c r="B57" t="s">
        <v>105</v>
      </c>
      <c r="C57" s="84">
        <v>30</v>
      </c>
      <c r="D57" s="127">
        <v>39</v>
      </c>
      <c r="E57" s="313">
        <f t="shared" si="0"/>
        <v>41.067</v>
      </c>
      <c r="F57" s="61"/>
      <c r="G57" s="61">
        <v>95</v>
      </c>
      <c r="H57" s="118" t="s">
        <v>108</v>
      </c>
      <c r="I57" s="84">
        <v>385</v>
      </c>
      <c r="J57" s="128">
        <v>455</v>
      </c>
      <c r="K57" s="313">
        <f t="shared" si="2"/>
        <v>479.11499999999995</v>
      </c>
      <c r="L57" s="61"/>
      <c r="M57" s="61"/>
      <c r="N57" s="61"/>
      <c r="O57" s="136"/>
      <c r="P57" s="61"/>
      <c r="Q57" s="61"/>
      <c r="R57" s="61"/>
    </row>
    <row r="58" spans="1:18" ht="15" thickBot="1">
      <c r="A58">
        <v>37</v>
      </c>
      <c r="B58" t="s">
        <v>107</v>
      </c>
      <c r="C58" s="84">
        <v>-10</v>
      </c>
      <c r="D58" s="127">
        <v>-10</v>
      </c>
      <c r="E58" s="313">
        <f t="shared" si="0"/>
        <v>-10.53</v>
      </c>
      <c r="F58" s="61" t="s">
        <v>335</v>
      </c>
      <c r="G58" s="61">
        <v>96</v>
      </c>
      <c r="H58" s="118" t="s">
        <v>110</v>
      </c>
      <c r="I58" s="84">
        <v>875</v>
      </c>
      <c r="J58" s="128" t="s">
        <v>209</v>
      </c>
      <c r="K58" s="313"/>
      <c r="L58" s="61"/>
      <c r="M58" s="61"/>
      <c r="N58" s="61"/>
      <c r="O58" s="137"/>
      <c r="P58" s="61"/>
      <c r="Q58" s="61"/>
      <c r="R58" s="61"/>
    </row>
    <row r="59" spans="1:18" ht="15" thickBot="1">
      <c r="A59">
        <v>38</v>
      </c>
      <c r="B59" s="4" t="s">
        <v>115</v>
      </c>
      <c r="C59" s="84" t="s">
        <v>209</v>
      </c>
      <c r="D59" s="128" t="s">
        <v>32</v>
      </c>
      <c r="E59" s="313"/>
      <c r="F59" s="61"/>
      <c r="G59" s="61">
        <v>97</v>
      </c>
      <c r="H59" s="118" t="s">
        <v>112</v>
      </c>
      <c r="I59" s="84" t="s">
        <v>209</v>
      </c>
      <c r="J59" s="128" t="s">
        <v>209</v>
      </c>
      <c r="K59" s="313"/>
      <c r="L59" s="61"/>
      <c r="M59" s="61"/>
      <c r="N59" s="61"/>
      <c r="O59" s="137"/>
      <c r="P59" s="61"/>
      <c r="Q59" s="61"/>
      <c r="R59" s="61"/>
    </row>
    <row r="60" spans="1:18" ht="15" thickBot="1">
      <c r="A60">
        <v>39</v>
      </c>
      <c r="B60" s="4" t="s">
        <v>117</v>
      </c>
      <c r="C60" s="84">
        <v>0</v>
      </c>
      <c r="D60" s="127">
        <v>0</v>
      </c>
      <c r="E60" s="313">
        <f t="shared" si="0"/>
        <v>0</v>
      </c>
      <c r="F60" s="61"/>
      <c r="G60" s="61">
        <v>98</v>
      </c>
      <c r="H60" s="61" t="s">
        <v>114</v>
      </c>
      <c r="I60" s="84">
        <v>4068</v>
      </c>
      <c r="J60" s="127">
        <v>5288.4000000000005</v>
      </c>
      <c r="K60" s="313">
        <f t="shared" si="2"/>
        <v>5568.6851999999999</v>
      </c>
      <c r="L60" s="61"/>
      <c r="M60" s="61"/>
      <c r="N60" s="61"/>
      <c r="O60" s="136"/>
      <c r="P60" s="61"/>
      <c r="Q60" s="61"/>
      <c r="R60" s="61"/>
    </row>
    <row r="61" spans="1:18" ht="15" thickBot="1">
      <c r="A61">
        <v>40</v>
      </c>
      <c r="B61" t="s">
        <v>119</v>
      </c>
      <c r="C61" s="84">
        <v>820</v>
      </c>
      <c r="D61" s="127">
        <v>1170</v>
      </c>
      <c r="E61" s="313">
        <f t="shared" si="0"/>
        <v>1232.01</v>
      </c>
      <c r="F61" s="61"/>
      <c r="G61" s="61">
        <v>99</v>
      </c>
      <c r="H61" s="61" t="s">
        <v>116</v>
      </c>
      <c r="I61" s="84">
        <v>6186</v>
      </c>
      <c r="J61" s="127">
        <v>8041.8</v>
      </c>
      <c r="K61" s="313">
        <f t="shared" si="2"/>
        <v>8468.0154000000002</v>
      </c>
      <c r="L61" s="61"/>
      <c r="M61" s="61"/>
      <c r="N61" s="61"/>
      <c r="O61" s="61"/>
      <c r="P61" s="61"/>
      <c r="Q61" s="61"/>
      <c r="R61" s="61"/>
    </row>
    <row r="62" spans="1:18" ht="15" thickBot="1">
      <c r="A62">
        <v>41</v>
      </c>
      <c r="B62" t="s">
        <v>121</v>
      </c>
      <c r="C62" s="84">
        <v>40</v>
      </c>
      <c r="D62" s="85">
        <v>26</v>
      </c>
      <c r="E62" s="313">
        <f t="shared" si="0"/>
        <v>27.378</v>
      </c>
      <c r="F62" s="61"/>
      <c r="G62" s="61">
        <v>100</v>
      </c>
      <c r="H62" s="61" t="s">
        <v>118</v>
      </c>
      <c r="I62" s="84">
        <v>8550</v>
      </c>
      <c r="J62" s="127">
        <v>11115</v>
      </c>
      <c r="K62" s="313">
        <f t="shared" si="2"/>
        <v>11704.094999999999</v>
      </c>
      <c r="L62" s="61"/>
      <c r="M62" s="61"/>
      <c r="N62" s="61"/>
      <c r="O62" s="61"/>
      <c r="P62" s="61"/>
      <c r="Q62" s="61"/>
      <c r="R62" s="61"/>
    </row>
    <row r="63" spans="1:18" ht="15" thickBot="1">
      <c r="A63">
        <v>42</v>
      </c>
      <c r="B63" t="s">
        <v>123</v>
      </c>
      <c r="C63" s="84">
        <v>250</v>
      </c>
      <c r="D63" s="127">
        <v>260</v>
      </c>
      <c r="E63" s="313">
        <f t="shared" si="0"/>
        <v>273.77999999999997</v>
      </c>
      <c r="F63" s="61"/>
      <c r="G63" s="61">
        <v>101</v>
      </c>
      <c r="H63" s="61" t="s">
        <v>120</v>
      </c>
      <c r="I63" s="84">
        <v>500</v>
      </c>
      <c r="J63" s="127">
        <v>650</v>
      </c>
      <c r="K63" s="313">
        <f t="shared" si="2"/>
        <v>684.44999999999993</v>
      </c>
      <c r="L63" s="61" t="s">
        <v>221</v>
      </c>
      <c r="M63" s="61"/>
      <c r="N63" s="61"/>
      <c r="O63" s="61"/>
      <c r="P63" s="61"/>
      <c r="Q63" s="61"/>
      <c r="R63" s="61"/>
    </row>
    <row r="64" spans="1:18" ht="15" thickBot="1">
      <c r="A64">
        <v>43</v>
      </c>
      <c r="B64" t="s">
        <v>125</v>
      </c>
      <c r="C64" s="84">
        <v>695</v>
      </c>
      <c r="D64" s="127">
        <v>663</v>
      </c>
      <c r="E64" s="313">
        <f t="shared" si="0"/>
        <v>698.13900000000001</v>
      </c>
      <c r="F64" s="61"/>
      <c r="G64" s="61">
        <v>102</v>
      </c>
      <c r="H64" s="61" t="s">
        <v>122</v>
      </c>
      <c r="I64" s="84">
        <v>3300</v>
      </c>
      <c r="J64" s="127">
        <v>4290</v>
      </c>
      <c r="K64" s="313">
        <f t="shared" si="2"/>
        <v>4517.37</v>
      </c>
      <c r="L64" s="61"/>
      <c r="M64" s="61"/>
      <c r="N64" s="61"/>
      <c r="O64" s="61"/>
      <c r="P64" s="61"/>
      <c r="Q64" s="61"/>
      <c r="R64" s="61"/>
    </row>
    <row r="65" spans="1:18" ht="15" thickBot="1">
      <c r="A65">
        <v>44</v>
      </c>
      <c r="B65" t="s">
        <v>127</v>
      </c>
      <c r="C65" s="84">
        <v>165</v>
      </c>
      <c r="D65" s="127">
        <v>260</v>
      </c>
      <c r="E65" s="313">
        <f t="shared" si="0"/>
        <v>273.77999999999997</v>
      </c>
      <c r="F65" s="61"/>
      <c r="G65" s="61">
        <v>103</v>
      </c>
      <c r="H65" s="61" t="s">
        <v>124</v>
      </c>
      <c r="I65" s="84">
        <v>4020</v>
      </c>
      <c r="J65" s="127">
        <v>5226</v>
      </c>
      <c r="K65" s="313">
        <f t="shared" si="2"/>
        <v>5502.9780000000001</v>
      </c>
      <c r="L65" s="61"/>
      <c r="M65" s="61"/>
      <c r="N65" s="61"/>
      <c r="O65" s="61"/>
      <c r="P65" s="61"/>
      <c r="Q65" s="61"/>
      <c r="R65" s="61"/>
    </row>
    <row r="66" spans="1:18" ht="15" thickBot="1">
      <c r="A66">
        <v>45</v>
      </c>
      <c r="B66" s="4" t="s">
        <v>129</v>
      </c>
      <c r="C66" s="84" t="s">
        <v>32</v>
      </c>
      <c r="D66" s="128" t="s">
        <v>32</v>
      </c>
      <c r="E66" s="313"/>
      <c r="F66" s="61"/>
      <c r="G66" s="61">
        <v>104</v>
      </c>
      <c r="H66" s="61" t="s">
        <v>126</v>
      </c>
      <c r="I66" s="84">
        <v>5220</v>
      </c>
      <c r="J66" s="127">
        <v>6786</v>
      </c>
      <c r="K66" s="313">
        <f t="shared" si="2"/>
        <v>7145.6579999999994</v>
      </c>
      <c r="L66" s="61"/>
      <c r="M66" s="61"/>
      <c r="N66" s="61"/>
      <c r="O66" s="61"/>
      <c r="P66" s="61"/>
      <c r="Q66" s="61"/>
      <c r="R66" s="61"/>
    </row>
    <row r="67" spans="1:18" ht="15" thickBot="1">
      <c r="A67">
        <v>46</v>
      </c>
      <c r="B67" s="4" t="s">
        <v>131</v>
      </c>
      <c r="C67" s="84" t="s">
        <v>32</v>
      </c>
      <c r="D67" s="128" t="s">
        <v>32</v>
      </c>
      <c r="E67" s="313"/>
      <c r="F67" s="61"/>
      <c r="G67" s="61">
        <v>105</v>
      </c>
      <c r="H67" s="61" t="s">
        <v>128</v>
      </c>
      <c r="I67" s="84">
        <v>5766</v>
      </c>
      <c r="J67" s="127">
        <v>7495.8</v>
      </c>
      <c r="K67" s="313">
        <f t="shared" si="2"/>
        <v>7893.0774000000001</v>
      </c>
      <c r="L67" s="61"/>
      <c r="M67" s="61"/>
      <c r="N67" s="61"/>
      <c r="O67" s="61"/>
      <c r="P67" s="61"/>
      <c r="Q67" s="61"/>
      <c r="R67" s="61"/>
    </row>
    <row r="68" spans="1:18" ht="15" thickBot="1">
      <c r="A68">
        <v>47</v>
      </c>
      <c r="B68" s="4" t="s">
        <v>133</v>
      </c>
      <c r="C68" s="84">
        <v>6323</v>
      </c>
      <c r="D68" s="86" t="s">
        <v>32</v>
      </c>
      <c r="E68" s="313"/>
      <c r="F68" s="61"/>
      <c r="G68" s="61">
        <v>106</v>
      </c>
      <c r="H68" s="118" t="s">
        <v>130</v>
      </c>
      <c r="I68" s="84" t="s">
        <v>32</v>
      </c>
      <c r="J68" s="100">
        <v>4647.5</v>
      </c>
      <c r="K68" s="313">
        <f t="shared" si="2"/>
        <v>4893.8175000000001</v>
      </c>
      <c r="L68" s="61"/>
      <c r="M68" s="61"/>
      <c r="N68" s="61"/>
      <c r="O68" s="61"/>
      <c r="P68" s="61"/>
      <c r="Q68" s="61"/>
      <c r="R68" s="61"/>
    </row>
    <row r="69" spans="1:18" ht="15" thickBot="1">
      <c r="A69">
        <v>48</v>
      </c>
      <c r="B69" s="4" t="s">
        <v>135</v>
      </c>
      <c r="C69" s="84">
        <v>7576</v>
      </c>
      <c r="D69" s="128" t="s">
        <v>32</v>
      </c>
      <c r="E69" s="313"/>
      <c r="F69" s="61"/>
      <c r="G69" s="61">
        <v>107</v>
      </c>
      <c r="H69" s="118" t="s">
        <v>134</v>
      </c>
      <c r="I69" s="84">
        <v>1760</v>
      </c>
      <c r="J69" s="127">
        <v>2340</v>
      </c>
      <c r="K69" s="313">
        <f t="shared" si="2"/>
        <v>2464.02</v>
      </c>
      <c r="L69" s="61"/>
      <c r="M69" s="61"/>
      <c r="N69" s="61"/>
      <c r="O69" s="61"/>
      <c r="P69" s="61"/>
      <c r="Q69" s="61"/>
      <c r="R69" s="61"/>
    </row>
    <row r="70" spans="1:18" ht="15" thickBot="1">
      <c r="A70">
        <v>49</v>
      </c>
      <c r="B70" s="4" t="s">
        <v>137</v>
      </c>
      <c r="C70" s="84">
        <v>675</v>
      </c>
      <c r="D70" s="128" t="s">
        <v>32</v>
      </c>
      <c r="E70" s="313"/>
      <c r="F70" s="61"/>
      <c r="G70" s="61">
        <v>108</v>
      </c>
      <c r="H70" s="118" t="s">
        <v>132</v>
      </c>
      <c r="I70" s="84">
        <v>4395</v>
      </c>
      <c r="J70" s="127">
        <v>5453.5</v>
      </c>
      <c r="K70" s="313">
        <f t="shared" si="2"/>
        <v>5742.5355</v>
      </c>
      <c r="L70" s="61"/>
      <c r="M70" s="61"/>
      <c r="N70" s="61"/>
      <c r="O70" s="61"/>
      <c r="P70" s="61"/>
      <c r="Q70" s="61"/>
      <c r="R70" s="61"/>
    </row>
    <row r="71" spans="1:18" ht="15" thickBot="1">
      <c r="A71">
        <v>50</v>
      </c>
      <c r="B71" s="4" t="s">
        <v>139</v>
      </c>
      <c r="C71" s="84" t="s">
        <v>32</v>
      </c>
      <c r="D71" s="128" t="s">
        <v>32</v>
      </c>
      <c r="E71" s="313"/>
      <c r="F71" s="61"/>
      <c r="G71" s="61">
        <v>109</v>
      </c>
      <c r="H71" s="118" t="s">
        <v>136</v>
      </c>
      <c r="I71" s="84">
        <v>795</v>
      </c>
      <c r="J71" s="127">
        <v>1280.5</v>
      </c>
      <c r="K71" s="313">
        <f t="shared" si="2"/>
        <v>1348.3664999999999</v>
      </c>
      <c r="L71" s="61"/>
      <c r="M71" s="61"/>
      <c r="N71" s="61"/>
      <c r="O71" s="61"/>
      <c r="P71" s="61"/>
      <c r="Q71" s="61"/>
      <c r="R71" s="61"/>
    </row>
    <row r="72" spans="1:18" ht="15" thickBot="1">
      <c r="A72">
        <v>51</v>
      </c>
      <c r="B72" s="4" t="s">
        <v>145</v>
      </c>
      <c r="C72" s="84">
        <v>4360</v>
      </c>
      <c r="D72" s="128" t="s">
        <v>32</v>
      </c>
      <c r="E72" s="313"/>
      <c r="F72" s="61"/>
      <c r="G72" s="61">
        <v>110</v>
      </c>
      <c r="H72" s="61" t="s">
        <v>138</v>
      </c>
      <c r="I72" s="84">
        <v>5514</v>
      </c>
      <c r="J72" s="127">
        <v>6103.5</v>
      </c>
      <c r="K72" s="313">
        <f t="shared" si="2"/>
        <v>6426.9854999999998</v>
      </c>
      <c r="L72" s="61"/>
      <c r="M72" s="61"/>
      <c r="N72" s="61"/>
      <c r="O72" s="61"/>
      <c r="P72" s="61"/>
      <c r="Q72" s="61"/>
      <c r="R72" s="61"/>
    </row>
    <row r="73" spans="1:18" ht="15" thickBot="1">
      <c r="A73">
        <v>52</v>
      </c>
      <c r="B73" s="4" t="s">
        <v>336</v>
      </c>
      <c r="C73" s="84" t="s">
        <v>32</v>
      </c>
      <c r="D73" s="128" t="s">
        <v>32</v>
      </c>
      <c r="E73" s="313"/>
      <c r="F73" s="61"/>
      <c r="G73" s="61">
        <v>111</v>
      </c>
      <c r="H73" s="61" t="s">
        <v>140</v>
      </c>
      <c r="I73" s="84">
        <v>2640</v>
      </c>
      <c r="J73" s="127">
        <v>3250</v>
      </c>
      <c r="K73" s="313">
        <f t="shared" si="2"/>
        <v>3422.25</v>
      </c>
      <c r="L73" s="61"/>
      <c r="M73" s="61"/>
      <c r="N73" s="61"/>
      <c r="O73" s="61"/>
      <c r="P73" s="61"/>
      <c r="Q73" s="61"/>
      <c r="R73" s="61"/>
    </row>
    <row r="74" spans="1:18" ht="15" thickBot="1">
      <c r="A74">
        <v>53</v>
      </c>
      <c r="B74" s="4" t="s">
        <v>151</v>
      </c>
      <c r="C74" s="84" t="s">
        <v>32</v>
      </c>
      <c r="D74" s="128" t="s">
        <v>32</v>
      </c>
      <c r="E74" s="313"/>
      <c r="F74" s="61"/>
      <c r="G74" s="61">
        <v>112</v>
      </c>
      <c r="H74" s="61" t="s">
        <v>142</v>
      </c>
      <c r="I74" s="84" t="s">
        <v>209</v>
      </c>
      <c r="J74" s="128" t="s">
        <v>209</v>
      </c>
      <c r="K74" s="313"/>
      <c r="L74" s="138"/>
      <c r="M74" s="133"/>
      <c r="N74" s="61"/>
      <c r="O74" s="61"/>
      <c r="P74" s="61"/>
      <c r="Q74" s="61"/>
      <c r="R74" s="61"/>
    </row>
    <row r="75" spans="1:18" ht="15" thickBot="1">
      <c r="A75">
        <v>54</v>
      </c>
      <c r="B75" s="4" t="s">
        <v>153</v>
      </c>
      <c r="C75" s="84" t="s">
        <v>32</v>
      </c>
      <c r="D75" s="128" t="s">
        <v>32</v>
      </c>
      <c r="E75" s="313"/>
      <c r="F75" s="61"/>
      <c r="G75" s="61">
        <v>113</v>
      </c>
      <c r="H75" s="118" t="s">
        <v>144</v>
      </c>
      <c r="I75" s="84">
        <v>4314</v>
      </c>
      <c r="J75" s="127">
        <v>5063.5</v>
      </c>
      <c r="K75" s="313">
        <f t="shared" si="2"/>
        <v>5331.8654999999999</v>
      </c>
      <c r="L75" s="138"/>
      <c r="M75" s="61"/>
      <c r="N75" s="61"/>
      <c r="O75" s="61"/>
      <c r="P75" s="61"/>
      <c r="Q75" s="61"/>
      <c r="R75" s="61"/>
    </row>
    <row r="76" spans="1:18" ht="15" thickBot="1">
      <c r="A76">
        <v>55</v>
      </c>
      <c r="B76" s="4" t="s">
        <v>153</v>
      </c>
      <c r="C76" s="84" t="s">
        <v>32</v>
      </c>
      <c r="D76" s="128" t="s">
        <v>32</v>
      </c>
      <c r="E76" s="313"/>
      <c r="F76" s="61"/>
      <c r="G76" s="61">
        <v>114</v>
      </c>
      <c r="H76" s="129" t="s">
        <v>146</v>
      </c>
      <c r="I76" s="84">
        <v>7182</v>
      </c>
      <c r="J76" s="139">
        <v>8053.5</v>
      </c>
      <c r="K76" s="313">
        <f t="shared" si="2"/>
        <v>8480.3354999999992</v>
      </c>
      <c r="L76" s="138" t="s">
        <v>337</v>
      </c>
      <c r="M76" s="133"/>
      <c r="N76" s="61"/>
      <c r="O76" s="61"/>
      <c r="P76" s="61"/>
      <c r="Q76" s="61"/>
      <c r="R76" s="61"/>
    </row>
    <row r="77" spans="1:18" ht="15" thickBot="1">
      <c r="A77">
        <v>56</v>
      </c>
      <c r="B77" s="4" t="s">
        <v>155</v>
      </c>
      <c r="C77" s="84">
        <v>4980</v>
      </c>
      <c r="D77" s="128" t="s">
        <v>32</v>
      </c>
      <c r="E77" s="313"/>
      <c r="F77" s="61"/>
      <c r="G77" s="61">
        <v>115</v>
      </c>
      <c r="H77" s="118" t="s">
        <v>338</v>
      </c>
      <c r="I77" s="84">
        <v>1920</v>
      </c>
      <c r="J77" s="127">
        <v>2275</v>
      </c>
      <c r="K77" s="313">
        <f t="shared" si="2"/>
        <v>2395.5749999999998</v>
      </c>
      <c r="L77" s="61"/>
      <c r="M77" s="61"/>
      <c r="N77" s="61"/>
      <c r="O77" s="61"/>
      <c r="P77" s="61"/>
      <c r="Q77" s="61"/>
      <c r="R77" s="61"/>
    </row>
    <row r="78" spans="1:18" ht="15" thickBot="1">
      <c r="A78">
        <v>57</v>
      </c>
      <c r="B78" s="4" t="s">
        <v>339</v>
      </c>
      <c r="C78" s="84" t="s">
        <v>32</v>
      </c>
      <c r="D78" s="128" t="s">
        <v>32</v>
      </c>
      <c r="E78" s="313"/>
      <c r="F78" s="61"/>
      <c r="G78" s="61">
        <v>116</v>
      </c>
      <c r="H78" s="61" t="s">
        <v>150</v>
      </c>
      <c r="I78" s="84">
        <v>605</v>
      </c>
      <c r="J78" s="127">
        <v>800</v>
      </c>
      <c r="K78" s="313">
        <f t="shared" si="2"/>
        <v>842.4</v>
      </c>
      <c r="L78" s="61"/>
      <c r="M78" s="61"/>
      <c r="N78" s="61"/>
      <c r="O78" s="61"/>
      <c r="P78" s="61"/>
      <c r="Q78" s="61"/>
      <c r="R78" s="61"/>
    </row>
    <row r="79" spans="1:18" ht="15" thickBot="1">
      <c r="A79">
        <v>58</v>
      </c>
      <c r="B79" s="4" t="s">
        <v>340</v>
      </c>
      <c r="C79" s="84" t="s">
        <v>32</v>
      </c>
      <c r="D79" s="128" t="s">
        <v>32</v>
      </c>
      <c r="E79" s="313"/>
      <c r="F79" s="61"/>
      <c r="G79" s="61">
        <v>117</v>
      </c>
      <c r="H79" s="61" t="s">
        <v>152</v>
      </c>
      <c r="I79" s="84">
        <v>605</v>
      </c>
      <c r="J79" s="127">
        <v>800</v>
      </c>
      <c r="K79" s="313">
        <f t="shared" si="2"/>
        <v>842.4</v>
      </c>
      <c r="L79" s="61"/>
      <c r="M79" s="61"/>
      <c r="N79" s="61"/>
      <c r="O79" s="61"/>
      <c r="P79" s="61"/>
      <c r="Q79" s="61"/>
      <c r="R79" s="61"/>
    </row>
    <row r="80" spans="1:18" ht="15" thickBot="1">
      <c r="A80">
        <v>59</v>
      </c>
      <c r="B80" s="4" t="s">
        <v>341</v>
      </c>
      <c r="C80" s="84" t="s">
        <v>32</v>
      </c>
      <c r="D80" s="128" t="s">
        <v>32</v>
      </c>
      <c r="E80" s="313"/>
      <c r="F80" s="61"/>
      <c r="G80" s="61">
        <v>118</v>
      </c>
      <c r="H80" s="61" t="s">
        <v>154</v>
      </c>
      <c r="I80" s="84">
        <v>880</v>
      </c>
      <c r="J80" s="127">
        <v>1150</v>
      </c>
      <c r="K80" s="313">
        <f t="shared" si="2"/>
        <v>1210.9499999999998</v>
      </c>
      <c r="L80" s="61"/>
      <c r="M80" s="61"/>
      <c r="N80" s="61"/>
      <c r="O80" s="61"/>
      <c r="P80" s="61"/>
      <c r="Q80" s="61"/>
      <c r="R80" s="61"/>
    </row>
    <row r="81" spans="2:18" ht="15" thickBot="1">
      <c r="B81" s="4"/>
      <c r="C81" s="61"/>
      <c r="D81" s="61"/>
      <c r="E81" s="61"/>
      <c r="F81" s="61"/>
      <c r="G81" s="61">
        <v>119</v>
      </c>
      <c r="H81" s="61" t="s">
        <v>156</v>
      </c>
      <c r="I81" s="84">
        <v>605</v>
      </c>
      <c r="J81" s="127">
        <v>800</v>
      </c>
      <c r="K81" s="313">
        <f t="shared" si="2"/>
        <v>842.4</v>
      </c>
      <c r="L81" s="61"/>
      <c r="M81" s="61"/>
      <c r="N81" s="61"/>
      <c r="O81" s="61"/>
      <c r="P81" s="61"/>
      <c r="Q81" s="61"/>
      <c r="R81" s="61"/>
    </row>
    <row r="82" spans="2:18" ht="15" thickBot="1">
      <c r="B82" s="4"/>
      <c r="C82" s="61"/>
      <c r="D82" s="61"/>
      <c r="E82" s="61"/>
      <c r="F82" s="61"/>
      <c r="G82" s="61">
        <v>120</v>
      </c>
      <c r="H82" s="61" t="s">
        <v>157</v>
      </c>
      <c r="I82" s="84">
        <v>880</v>
      </c>
      <c r="J82" s="127">
        <v>1150</v>
      </c>
      <c r="K82" s="313">
        <f t="shared" si="2"/>
        <v>1210.9499999999998</v>
      </c>
      <c r="L82" s="61"/>
      <c r="M82" s="61"/>
      <c r="N82" s="61"/>
      <c r="O82" s="61"/>
      <c r="P82" s="61"/>
      <c r="Q82" s="61"/>
      <c r="R82" s="61"/>
    </row>
    <row r="83" spans="2:18" ht="15" thickBot="1">
      <c r="B83" s="4"/>
      <c r="C83" s="61"/>
      <c r="D83" s="61"/>
      <c r="E83" s="61"/>
      <c r="F83" s="61"/>
      <c r="G83" s="61">
        <v>121</v>
      </c>
      <c r="H83" s="61" t="s">
        <v>158</v>
      </c>
      <c r="I83" s="84">
        <v>1230</v>
      </c>
      <c r="J83" s="127">
        <v>1625</v>
      </c>
      <c r="K83" s="313">
        <f t="shared" si="2"/>
        <v>1711.125</v>
      </c>
      <c r="L83" s="61"/>
      <c r="M83" s="61"/>
      <c r="N83" s="61"/>
      <c r="O83" s="61"/>
      <c r="P83" s="61"/>
      <c r="Q83" s="61"/>
      <c r="R83" s="61"/>
    </row>
    <row r="84" spans="2:18" ht="15" thickBot="1">
      <c r="B84" s="4"/>
      <c r="C84" s="61"/>
      <c r="D84" s="61"/>
      <c r="E84" s="61"/>
      <c r="F84" s="61"/>
      <c r="G84" s="61">
        <v>122</v>
      </c>
      <c r="H84" s="61" t="s">
        <v>160</v>
      </c>
      <c r="I84" s="84">
        <v>1770</v>
      </c>
      <c r="J84" s="127">
        <v>2268.5</v>
      </c>
      <c r="K84" s="313">
        <f t="shared" si="2"/>
        <v>2388.7304999999997</v>
      </c>
      <c r="L84" s="61"/>
      <c r="M84" s="61"/>
      <c r="N84" s="61"/>
      <c r="O84" s="61"/>
      <c r="P84" s="61"/>
      <c r="Q84" s="61"/>
      <c r="R84" s="61"/>
    </row>
    <row r="85" spans="2:18" ht="15" thickBot="1">
      <c r="B85" s="4"/>
      <c r="C85" s="118"/>
      <c r="D85" s="118"/>
      <c r="E85" s="118"/>
      <c r="F85" s="61"/>
      <c r="G85" s="61">
        <v>123</v>
      </c>
      <c r="H85" s="61" t="s">
        <v>161</v>
      </c>
      <c r="I85" s="84">
        <v>1902</v>
      </c>
      <c r="J85" s="127">
        <v>2502.5</v>
      </c>
      <c r="K85" s="313">
        <f t="shared" si="2"/>
        <v>2635.1324999999997</v>
      </c>
      <c r="L85" s="61"/>
      <c r="M85" s="61"/>
      <c r="N85" s="61"/>
      <c r="O85" s="61"/>
      <c r="P85" s="61"/>
      <c r="Q85" s="61"/>
      <c r="R85" s="61"/>
    </row>
    <row r="86" spans="2:18" ht="15" thickBot="1">
      <c r="B86" s="4"/>
      <c r="C86" s="118"/>
      <c r="D86" s="118"/>
      <c r="E86" s="118"/>
      <c r="F86" s="61"/>
      <c r="G86" s="61">
        <v>124</v>
      </c>
      <c r="H86" s="61" t="s">
        <v>162</v>
      </c>
      <c r="I86" s="84">
        <v>2070</v>
      </c>
      <c r="J86" s="127">
        <v>2242.5</v>
      </c>
      <c r="K86" s="313">
        <f t="shared" ref="K86:K92" si="3">+J86*1.053</f>
        <v>2361.3525</v>
      </c>
      <c r="L86" s="61"/>
      <c r="M86" s="61"/>
      <c r="N86" s="61"/>
      <c r="O86" s="61"/>
      <c r="P86" s="61"/>
      <c r="Q86" s="61"/>
      <c r="R86" s="61"/>
    </row>
    <row r="87" spans="2:18" ht="15" thickBot="1">
      <c r="B87" s="4"/>
      <c r="C87" s="118"/>
      <c r="D87" s="118"/>
      <c r="E87" s="118"/>
      <c r="F87" s="61"/>
      <c r="G87" s="61">
        <v>125</v>
      </c>
      <c r="H87" s="61" t="s">
        <v>342</v>
      </c>
      <c r="I87" s="84" t="s">
        <v>209</v>
      </c>
      <c r="J87" s="128" t="s">
        <v>209</v>
      </c>
      <c r="K87" s="313"/>
      <c r="L87" s="61"/>
      <c r="M87" s="61"/>
      <c r="N87" s="61"/>
      <c r="O87" s="61"/>
      <c r="P87" s="61"/>
      <c r="Q87" s="61"/>
      <c r="R87" s="61"/>
    </row>
    <row r="88" spans="2:18" ht="15" thickBot="1">
      <c r="B88" s="4"/>
      <c r="C88" s="118"/>
      <c r="D88" s="118"/>
      <c r="E88" s="118"/>
      <c r="F88" s="61"/>
      <c r="G88" s="61">
        <v>126</v>
      </c>
      <c r="H88" s="61" t="s">
        <v>222</v>
      </c>
      <c r="I88" s="84">
        <v>125</v>
      </c>
      <c r="J88" s="127">
        <v>162.5</v>
      </c>
      <c r="K88" s="313">
        <f t="shared" si="3"/>
        <v>171.11249999999998</v>
      </c>
      <c r="L88" s="61"/>
      <c r="M88" s="61"/>
      <c r="N88" s="61"/>
      <c r="O88" s="61"/>
      <c r="P88" s="61"/>
      <c r="Q88" s="61"/>
      <c r="R88" s="61"/>
    </row>
    <row r="89" spans="2:18" ht="15" thickBot="1">
      <c r="B89" s="4"/>
      <c r="C89" s="118"/>
      <c r="D89" s="118"/>
      <c r="E89" s="118"/>
      <c r="F89" s="61"/>
      <c r="G89" s="61"/>
      <c r="H89" s="61"/>
      <c r="I89" s="84"/>
      <c r="J89" s="127"/>
      <c r="K89" s="313">
        <f t="shared" si="3"/>
        <v>0</v>
      </c>
      <c r="L89" s="61"/>
      <c r="M89" s="61"/>
      <c r="N89" s="61"/>
      <c r="O89" s="61"/>
      <c r="P89" s="61"/>
      <c r="Q89" s="61"/>
      <c r="R89" s="61"/>
    </row>
    <row r="90" spans="2:18" ht="15" thickBot="1">
      <c r="B90" s="4"/>
      <c r="C90" s="118"/>
      <c r="D90" s="118"/>
      <c r="E90" s="118"/>
      <c r="F90" s="61"/>
      <c r="G90" s="61">
        <v>127</v>
      </c>
      <c r="H90" s="61" t="s">
        <v>166</v>
      </c>
      <c r="I90" s="84">
        <v>475</v>
      </c>
      <c r="J90" s="127">
        <v>390</v>
      </c>
      <c r="K90" s="313">
        <f t="shared" si="3"/>
        <v>410.66999999999996</v>
      </c>
      <c r="L90" s="61"/>
      <c r="M90" s="61"/>
      <c r="N90" s="61"/>
      <c r="O90" s="61"/>
      <c r="P90" s="61"/>
      <c r="Q90" s="61"/>
      <c r="R90" s="61"/>
    </row>
    <row r="91" spans="2:18" ht="15" thickBot="1">
      <c r="B91" s="4"/>
      <c r="C91" s="118"/>
      <c r="D91" s="118"/>
      <c r="E91" s="118"/>
      <c r="F91" s="61"/>
      <c r="G91" s="61">
        <v>128</v>
      </c>
      <c r="H91" s="61" t="s">
        <v>167</v>
      </c>
      <c r="I91" s="84">
        <v>2277</v>
      </c>
      <c r="J91" s="128" t="s">
        <v>209</v>
      </c>
      <c r="K91" s="313"/>
      <c r="L91" s="61" t="s">
        <v>343</v>
      </c>
      <c r="M91" s="61"/>
      <c r="N91" s="61"/>
      <c r="O91" s="61"/>
      <c r="P91" s="61"/>
      <c r="Q91" s="61"/>
      <c r="R91" s="61"/>
    </row>
    <row r="92" spans="2:18" ht="15" thickBot="1">
      <c r="B92" s="4"/>
      <c r="C92" s="118"/>
      <c r="D92" s="118"/>
      <c r="E92" s="118"/>
      <c r="F92" s="61"/>
      <c r="G92" s="61">
        <v>129</v>
      </c>
      <c r="H92" s="61" t="s">
        <v>344</v>
      </c>
      <c r="I92" s="84">
        <v>75</v>
      </c>
      <c r="J92" s="85">
        <v>58.5</v>
      </c>
      <c r="K92" s="313">
        <f t="shared" si="3"/>
        <v>61.600499999999997</v>
      </c>
      <c r="L92" s="61"/>
      <c r="M92" s="61"/>
      <c r="N92" s="61"/>
      <c r="O92" s="61"/>
      <c r="P92" s="61"/>
      <c r="Q92" s="61"/>
      <c r="R92" s="61"/>
    </row>
    <row r="93" spans="2:18">
      <c r="B93" s="4"/>
      <c r="C93" s="118"/>
      <c r="D93" s="118"/>
      <c r="E93" s="118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</row>
    <row r="94" spans="2:18">
      <c r="B94" s="4"/>
      <c r="C94" s="118"/>
      <c r="D94" s="118"/>
      <c r="E94" s="118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</row>
    <row r="95" spans="2:18" ht="16.2" thickBot="1">
      <c r="B95" s="1" t="s">
        <v>1</v>
      </c>
      <c r="C95" s="62" t="s">
        <v>318</v>
      </c>
      <c r="F95" s="314" t="s">
        <v>955</v>
      </c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</row>
    <row r="96" spans="2:18">
      <c r="C96" s="55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</row>
    <row r="97" spans="1:18" ht="15" thickBot="1">
      <c r="B97" s="1" t="s">
        <v>2</v>
      </c>
      <c r="C97" s="62" t="s">
        <v>346</v>
      </c>
      <c r="F97" s="55" t="s">
        <v>751</v>
      </c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</row>
    <row r="98" spans="1:18"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</row>
    <row r="99" spans="1:18">
      <c r="B99" s="1" t="s">
        <v>320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</row>
    <row r="100" spans="1:18" ht="15" thickBot="1">
      <c r="B100" s="18" t="s">
        <v>689</v>
      </c>
      <c r="C100" s="84">
        <v>130186</v>
      </c>
      <c r="D100" s="61"/>
      <c r="E100" s="64">
        <v>142738</v>
      </c>
      <c r="F100" s="313">
        <f t="shared" ref="F100:F101" si="4">+E100*1.053</f>
        <v>150303.114</v>
      </c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</row>
    <row r="101" spans="1:18" ht="15" thickBot="1">
      <c r="B101" s="18" t="s">
        <v>690</v>
      </c>
      <c r="C101" s="84">
        <v>137703</v>
      </c>
      <c r="D101" s="61"/>
      <c r="E101" s="64">
        <v>150448</v>
      </c>
      <c r="F101" s="313">
        <f t="shared" si="4"/>
        <v>158421.74399999998</v>
      </c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</row>
    <row r="102" spans="1:18" ht="15" thickBot="1">
      <c r="C102" s="61"/>
      <c r="D102" s="61"/>
      <c r="E102" s="61"/>
      <c r="F102" s="103"/>
      <c r="G102" s="84"/>
      <c r="H102" s="61"/>
      <c r="I102" s="61"/>
      <c r="J102" s="61"/>
      <c r="K102" s="61"/>
      <c r="L102" s="61"/>
      <c r="M102" s="61"/>
      <c r="N102" s="61"/>
      <c r="O102" s="61"/>
      <c r="P102" s="61"/>
      <c r="Q102" s="61"/>
    </row>
    <row r="103" spans="1:18" ht="15" thickBot="1">
      <c r="B103" s="1" t="s">
        <v>324</v>
      </c>
      <c r="C103" s="61"/>
      <c r="D103" s="61"/>
      <c r="E103" s="61"/>
      <c r="F103" s="103"/>
      <c r="G103" s="84"/>
      <c r="H103" s="61"/>
      <c r="I103" s="61"/>
      <c r="J103" s="61"/>
      <c r="K103" s="61"/>
      <c r="L103" s="61"/>
      <c r="M103" s="61"/>
      <c r="N103" s="61"/>
      <c r="O103" s="61"/>
      <c r="P103" s="61"/>
      <c r="Q103" s="61"/>
    </row>
    <row r="104" spans="1:18" ht="15" thickBot="1">
      <c r="B104" s="18" t="s">
        <v>325</v>
      </c>
      <c r="C104" s="84" t="s">
        <v>204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</row>
    <row r="105" spans="1:18" ht="15" thickBot="1">
      <c r="B105" s="18" t="s">
        <v>326</v>
      </c>
      <c r="C105" s="84" t="s">
        <v>204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</row>
    <row r="106" spans="1:18" ht="15" thickBot="1">
      <c r="C106" s="61"/>
      <c r="D106" s="61"/>
      <c r="E106" s="61"/>
      <c r="F106" s="103"/>
      <c r="G106" s="84"/>
      <c r="H106" s="61"/>
      <c r="I106" s="61"/>
      <c r="J106" s="61"/>
      <c r="K106" s="61"/>
      <c r="L106" s="61"/>
      <c r="M106" s="61"/>
      <c r="N106" s="61"/>
      <c r="O106" s="61"/>
      <c r="P106" s="61"/>
      <c r="Q106" s="61"/>
    </row>
    <row r="107" spans="1:18" ht="15" thickBot="1">
      <c r="B107" s="1" t="s">
        <v>327</v>
      </c>
      <c r="C107" s="61"/>
      <c r="D107" s="61"/>
      <c r="E107" s="61"/>
      <c r="F107" s="103"/>
      <c r="G107" s="84"/>
      <c r="H107" s="61"/>
      <c r="I107" s="61"/>
      <c r="J107" s="61"/>
      <c r="K107" s="61"/>
      <c r="L107" s="61"/>
      <c r="M107" s="61"/>
      <c r="N107" s="61"/>
      <c r="O107" s="61"/>
      <c r="P107" s="61"/>
      <c r="Q107" s="61"/>
    </row>
    <row r="108" spans="1:18" ht="15" thickBot="1">
      <c r="B108" s="18" t="s">
        <v>328</v>
      </c>
      <c r="C108" s="84" t="s">
        <v>204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</row>
    <row r="109" spans="1:18" ht="15" thickBot="1">
      <c r="B109" s="18" t="s">
        <v>329</v>
      </c>
      <c r="C109" s="84" t="s">
        <v>204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</row>
    <row r="110" spans="1:18"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</row>
    <row r="111" spans="1:18">
      <c r="C111" s="61"/>
      <c r="D111" s="61"/>
      <c r="E111" s="134"/>
      <c r="F111" s="134"/>
      <c r="G111" s="61"/>
      <c r="H111" s="61"/>
      <c r="I111" s="61"/>
      <c r="J111" s="61"/>
      <c r="K111" s="61"/>
      <c r="L111" s="134"/>
      <c r="M111" s="134"/>
      <c r="N111" s="61"/>
      <c r="O111" s="61"/>
      <c r="P111" s="61"/>
      <c r="Q111" s="61"/>
    </row>
    <row r="112" spans="1:18" ht="15" thickBot="1">
      <c r="A112">
        <v>1</v>
      </c>
      <c r="B112" s="4" t="s">
        <v>23</v>
      </c>
      <c r="C112" s="84">
        <v>1365</v>
      </c>
      <c r="D112" s="85">
        <v>1735.5</v>
      </c>
      <c r="E112" s="313">
        <f t="shared" ref="E112:E170" si="5">+D112*1.053</f>
        <v>1827.4814999999999</v>
      </c>
      <c r="F112" s="61"/>
      <c r="H112" s="61">
        <v>60</v>
      </c>
      <c r="I112" s="118" t="s">
        <v>24</v>
      </c>
      <c r="J112" s="84">
        <v>9855</v>
      </c>
      <c r="K112" s="86">
        <v>13123.5</v>
      </c>
      <c r="L112" s="313">
        <f t="shared" ref="L112:L175" si="6">+K112*1.053</f>
        <v>13819.045499999998</v>
      </c>
      <c r="N112" s="61">
        <v>130</v>
      </c>
      <c r="O112" s="61" t="s">
        <v>277</v>
      </c>
      <c r="P112" s="84">
        <v>8085</v>
      </c>
      <c r="Q112" s="85">
        <v>2600</v>
      </c>
      <c r="R112" s="313">
        <f t="shared" ref="R112:R119" si="7">+Q112*1.053</f>
        <v>2737.7999999999997</v>
      </c>
    </row>
    <row r="113" spans="1:19" ht="15" thickBot="1">
      <c r="A113">
        <v>2</v>
      </c>
      <c r="B113" s="4" t="s">
        <v>26</v>
      </c>
      <c r="C113" s="84">
        <v>1045</v>
      </c>
      <c r="D113" s="85">
        <v>1365</v>
      </c>
      <c r="E113" s="313">
        <f t="shared" si="5"/>
        <v>1437.3449999999998</v>
      </c>
      <c r="F113" s="61"/>
      <c r="H113" s="61">
        <v>61</v>
      </c>
      <c r="I113" s="118" t="s">
        <v>30</v>
      </c>
      <c r="J113" s="84">
        <v>1280</v>
      </c>
      <c r="K113" s="128" t="s">
        <v>32</v>
      </c>
      <c r="L113" s="313"/>
      <c r="M113" s="138" t="s">
        <v>347</v>
      </c>
      <c r="O113" s="61" t="s">
        <v>280</v>
      </c>
      <c r="P113" s="84" t="s">
        <v>32</v>
      </c>
      <c r="Q113" s="86" t="s">
        <v>32</v>
      </c>
      <c r="R113" s="313" t="e">
        <f t="shared" si="7"/>
        <v>#VALUE!</v>
      </c>
    </row>
    <row r="114" spans="1:19" ht="15" thickBot="1">
      <c r="A114">
        <v>3</v>
      </c>
      <c r="B114" s="4" t="s">
        <v>29</v>
      </c>
      <c r="C114" s="84">
        <v>690</v>
      </c>
      <c r="D114" s="85">
        <v>962</v>
      </c>
      <c r="E114" s="313">
        <f t="shared" si="5"/>
        <v>1012.986</v>
      </c>
      <c r="F114" s="61"/>
      <c r="H114" s="61">
        <v>62</v>
      </c>
      <c r="I114" s="118" t="s">
        <v>35</v>
      </c>
      <c r="J114" s="84">
        <v>2810</v>
      </c>
      <c r="K114" s="128" t="s">
        <v>32</v>
      </c>
      <c r="L114" s="313"/>
      <c r="M114" s="138" t="s">
        <v>347</v>
      </c>
      <c r="O114" s="61" t="s">
        <v>330</v>
      </c>
      <c r="P114" s="84">
        <v>2915</v>
      </c>
      <c r="Q114" s="85">
        <v>3445</v>
      </c>
      <c r="R114" s="313">
        <f t="shared" si="7"/>
        <v>3627.5849999999996</v>
      </c>
    </row>
    <row r="115" spans="1:19" ht="15" thickBot="1">
      <c r="A115">
        <v>4</v>
      </c>
      <c r="B115" s="4" t="s">
        <v>34</v>
      </c>
      <c r="C115" s="84">
        <v>735</v>
      </c>
      <c r="D115" s="85">
        <v>819</v>
      </c>
      <c r="E115" s="313">
        <f t="shared" si="5"/>
        <v>862.40699999999993</v>
      </c>
      <c r="F115" s="61"/>
      <c r="H115" s="61">
        <v>63</v>
      </c>
      <c r="I115" s="118" t="s">
        <v>42</v>
      </c>
      <c r="J115" s="84">
        <v>1065</v>
      </c>
      <c r="K115" s="85">
        <v>1384.5</v>
      </c>
      <c r="L115" s="313">
        <f t="shared" si="6"/>
        <v>1457.8784999999998</v>
      </c>
      <c r="M115" s="61"/>
      <c r="O115" s="118" t="s">
        <v>31</v>
      </c>
      <c r="P115" s="84">
        <v>1130</v>
      </c>
      <c r="Q115" s="85">
        <v>1456</v>
      </c>
      <c r="R115" s="313">
        <f t="shared" si="7"/>
        <v>1533.1679999999999</v>
      </c>
      <c r="S115" s="61" t="s">
        <v>33</v>
      </c>
    </row>
    <row r="116" spans="1:19" ht="15" thickBot="1">
      <c r="A116">
        <v>5</v>
      </c>
      <c r="B116" s="4" t="s">
        <v>37</v>
      </c>
      <c r="C116" s="84">
        <v>1170</v>
      </c>
      <c r="D116" s="85">
        <v>1287</v>
      </c>
      <c r="E116" s="313">
        <f t="shared" si="5"/>
        <v>1355.211</v>
      </c>
      <c r="F116" s="61"/>
      <c r="H116" s="61">
        <v>64</v>
      </c>
      <c r="I116" s="118" t="s">
        <v>44</v>
      </c>
      <c r="J116" s="84">
        <v>1500</v>
      </c>
      <c r="K116" s="128">
        <v>1950</v>
      </c>
      <c r="L116" s="313">
        <f t="shared" si="6"/>
        <v>2053.35</v>
      </c>
      <c r="M116" s="61"/>
      <c r="O116" s="135" t="s">
        <v>36</v>
      </c>
      <c r="P116" s="84">
        <v>365</v>
      </c>
      <c r="Q116" s="127">
        <v>474.5</v>
      </c>
      <c r="R116" s="313">
        <f t="shared" si="7"/>
        <v>499.64849999999996</v>
      </c>
      <c r="S116" s="61" t="s">
        <v>33</v>
      </c>
    </row>
    <row r="117" spans="1:19" ht="15" thickBot="1">
      <c r="A117">
        <v>6</v>
      </c>
      <c r="B117" s="4" t="s">
        <v>39</v>
      </c>
      <c r="C117" s="84">
        <v>1830</v>
      </c>
      <c r="D117" s="85">
        <v>2008.5</v>
      </c>
      <c r="E117" s="313">
        <f t="shared" si="5"/>
        <v>2114.9504999999999</v>
      </c>
      <c r="F117" s="61"/>
      <c r="H117" s="61">
        <v>65</v>
      </c>
      <c r="I117" s="118" t="s">
        <v>46</v>
      </c>
      <c r="J117" s="84">
        <v>490</v>
      </c>
      <c r="K117" s="128">
        <v>637</v>
      </c>
      <c r="L117" s="313">
        <f t="shared" si="6"/>
        <v>670.76099999999997</v>
      </c>
      <c r="M117" s="61"/>
      <c r="O117" s="118" t="s">
        <v>302</v>
      </c>
      <c r="P117" s="84"/>
      <c r="Q117" s="131"/>
      <c r="R117" s="313"/>
    </row>
    <row r="118" spans="1:19" ht="15" thickBot="1">
      <c r="A118">
        <v>7</v>
      </c>
      <c r="B118" s="4" t="s">
        <v>41</v>
      </c>
      <c r="C118" s="84">
        <v>1330</v>
      </c>
      <c r="D118" s="85">
        <v>1592.5</v>
      </c>
      <c r="E118" s="313">
        <f t="shared" si="5"/>
        <v>1676.9024999999999</v>
      </c>
      <c r="F118" s="61"/>
      <c r="H118" s="61">
        <v>66</v>
      </c>
      <c r="I118" s="118" t="s">
        <v>48</v>
      </c>
      <c r="J118" s="84">
        <v>1500</v>
      </c>
      <c r="K118" s="128">
        <v>1950</v>
      </c>
      <c r="L118" s="313">
        <f t="shared" si="6"/>
        <v>2053.35</v>
      </c>
      <c r="M118" s="61"/>
      <c r="O118" s="118" t="s">
        <v>717</v>
      </c>
      <c r="P118" s="61"/>
      <c r="Q118" s="131">
        <v>1300</v>
      </c>
      <c r="R118" s="313">
        <f t="shared" si="7"/>
        <v>1368.8999999999999</v>
      </c>
    </row>
    <row r="119" spans="1:19" ht="15" thickBot="1">
      <c r="A119">
        <v>8</v>
      </c>
      <c r="B119" s="4" t="s">
        <v>43</v>
      </c>
      <c r="C119" s="84">
        <v>1545</v>
      </c>
      <c r="D119" s="85">
        <v>2054</v>
      </c>
      <c r="E119" s="313">
        <f t="shared" si="5"/>
        <v>2162.8620000000001</v>
      </c>
      <c r="F119" s="61" t="s">
        <v>348</v>
      </c>
      <c r="H119" s="61">
        <v>67</v>
      </c>
      <c r="I119" s="118" t="s">
        <v>50</v>
      </c>
      <c r="J119" s="84">
        <v>475</v>
      </c>
      <c r="K119" s="128">
        <v>617.5</v>
      </c>
      <c r="L119" s="313">
        <f t="shared" si="6"/>
        <v>650.22749999999996</v>
      </c>
      <c r="M119" s="61"/>
      <c r="O119" s="118" t="s">
        <v>718</v>
      </c>
      <c r="P119" s="61"/>
      <c r="Q119" s="127">
        <v>4875</v>
      </c>
      <c r="R119" s="313">
        <f t="shared" si="7"/>
        <v>5133.375</v>
      </c>
    </row>
    <row r="120" spans="1:19" ht="15" thickBot="1">
      <c r="A120">
        <v>9</v>
      </c>
      <c r="B120" s="4" t="s">
        <v>45</v>
      </c>
      <c r="C120" s="84">
        <v>-120</v>
      </c>
      <c r="D120" s="85">
        <v>-156</v>
      </c>
      <c r="E120" s="313">
        <f t="shared" si="5"/>
        <v>-164.268</v>
      </c>
      <c r="F120" s="61"/>
      <c r="H120" s="61">
        <v>68</v>
      </c>
      <c r="I120" s="118" t="s">
        <v>52</v>
      </c>
      <c r="J120" s="84">
        <v>825</v>
      </c>
      <c r="K120" s="86">
        <v>1072.5</v>
      </c>
      <c r="L120" s="313">
        <f t="shared" si="6"/>
        <v>1129.3425</v>
      </c>
      <c r="M120" s="61"/>
      <c r="N120" s="61"/>
      <c r="O120" s="61"/>
      <c r="P120" s="61"/>
      <c r="Q120" s="61"/>
      <c r="R120" s="61"/>
    </row>
    <row r="121" spans="1:19" ht="15" thickBot="1">
      <c r="A121">
        <v>10</v>
      </c>
      <c r="B121" s="4" t="s">
        <v>47</v>
      </c>
      <c r="C121" s="84">
        <v>680</v>
      </c>
      <c r="D121" s="128">
        <v>2008.5</v>
      </c>
      <c r="E121" s="313">
        <f t="shared" si="5"/>
        <v>2114.9504999999999</v>
      </c>
      <c r="F121" s="61"/>
      <c r="H121" s="61">
        <v>69</v>
      </c>
      <c r="I121" s="118" t="s">
        <v>54</v>
      </c>
      <c r="J121" s="84" t="s">
        <v>57</v>
      </c>
      <c r="K121" s="86" t="s">
        <v>208</v>
      </c>
      <c r="L121" s="313"/>
      <c r="M121" s="61"/>
      <c r="N121" s="61"/>
      <c r="O121" s="61"/>
      <c r="P121" s="61"/>
      <c r="Q121" s="61"/>
      <c r="R121" s="61"/>
    </row>
    <row r="122" spans="1:19" ht="15" thickBot="1">
      <c r="A122">
        <v>11</v>
      </c>
      <c r="B122" t="s">
        <v>211</v>
      </c>
      <c r="C122" s="84">
        <v>615</v>
      </c>
      <c r="D122" s="128">
        <v>1917.5</v>
      </c>
      <c r="E122" s="313">
        <f t="shared" si="5"/>
        <v>2019.1274999999998</v>
      </c>
      <c r="F122" s="61"/>
      <c r="H122" s="61">
        <v>70</v>
      </c>
      <c r="I122" s="118" t="s">
        <v>56</v>
      </c>
      <c r="J122" s="84" t="s">
        <v>57</v>
      </c>
      <c r="K122" s="86" t="s">
        <v>208</v>
      </c>
      <c r="L122" s="313"/>
      <c r="M122" s="61"/>
      <c r="N122" s="61"/>
      <c r="O122" s="61"/>
      <c r="P122" s="61"/>
      <c r="Q122" s="61"/>
      <c r="R122" s="61"/>
    </row>
    <row r="123" spans="1:19" ht="15" thickBot="1">
      <c r="A123">
        <v>12</v>
      </c>
      <c r="B123" s="4" t="s">
        <v>51</v>
      </c>
      <c r="C123" s="84">
        <v>485</v>
      </c>
      <c r="D123" s="128">
        <v>2145</v>
      </c>
      <c r="E123" s="313">
        <f t="shared" si="5"/>
        <v>2258.6849999999999</v>
      </c>
      <c r="F123" s="61"/>
      <c r="H123" s="61">
        <v>71</v>
      </c>
      <c r="I123" s="118" t="s">
        <v>59</v>
      </c>
      <c r="J123" s="84">
        <v>402</v>
      </c>
      <c r="K123" s="128">
        <v>474.5</v>
      </c>
      <c r="L123" s="313">
        <f t="shared" si="6"/>
        <v>499.64849999999996</v>
      </c>
      <c r="M123" s="61"/>
      <c r="N123" s="61"/>
      <c r="O123" s="61"/>
      <c r="P123" s="61"/>
      <c r="Q123" s="61"/>
      <c r="R123" s="61"/>
    </row>
    <row r="124" spans="1:19" ht="15" thickBot="1">
      <c r="A124">
        <v>13</v>
      </c>
      <c r="B124" s="4" t="s">
        <v>332</v>
      </c>
      <c r="C124" s="84" t="s">
        <v>208</v>
      </c>
      <c r="D124" s="100" t="s">
        <v>208</v>
      </c>
      <c r="E124" s="313"/>
      <c r="F124" s="61"/>
      <c r="H124" s="61">
        <v>72</v>
      </c>
      <c r="I124" s="118" t="s">
        <v>61</v>
      </c>
      <c r="J124" s="84">
        <v>2500</v>
      </c>
      <c r="K124" s="127">
        <v>3035.5</v>
      </c>
      <c r="L124" s="313">
        <f t="shared" si="6"/>
        <v>3196.3815</v>
      </c>
      <c r="M124" s="61"/>
      <c r="N124" s="61"/>
      <c r="O124" s="61"/>
      <c r="P124" s="61"/>
      <c r="Q124" s="61"/>
      <c r="R124" s="61"/>
    </row>
    <row r="125" spans="1:19" ht="15" thickBot="1">
      <c r="A125">
        <v>14</v>
      </c>
      <c r="B125" s="4" t="s">
        <v>55</v>
      </c>
      <c r="C125" s="84">
        <v>755</v>
      </c>
      <c r="D125" s="128">
        <v>747.5</v>
      </c>
      <c r="E125" s="313">
        <f t="shared" si="5"/>
        <v>787.11749999999995</v>
      </c>
      <c r="F125" s="61"/>
      <c r="H125" s="61">
        <v>73</v>
      </c>
      <c r="I125" s="118" t="s">
        <v>63</v>
      </c>
      <c r="J125" s="84">
        <v>3100</v>
      </c>
      <c r="K125" s="127">
        <v>3438.5</v>
      </c>
      <c r="L125" s="313">
        <f t="shared" si="6"/>
        <v>3620.7404999999999</v>
      </c>
      <c r="M125" s="61"/>
      <c r="N125" s="61"/>
      <c r="O125" s="61"/>
      <c r="P125" s="61"/>
      <c r="Q125" s="61"/>
      <c r="R125" s="61"/>
    </row>
    <row r="126" spans="1:19" ht="15" thickBot="1">
      <c r="A126">
        <v>15</v>
      </c>
      <c r="B126" s="4" t="s">
        <v>334</v>
      </c>
      <c r="C126" s="84">
        <v>-860</v>
      </c>
      <c r="D126" s="128" t="s">
        <v>32</v>
      </c>
      <c r="E126" s="313"/>
      <c r="F126" s="61"/>
      <c r="H126" s="61">
        <v>74</v>
      </c>
      <c r="I126" s="118" t="s">
        <v>65</v>
      </c>
      <c r="J126" s="84" t="s">
        <v>57</v>
      </c>
      <c r="K126" s="128" t="s">
        <v>208</v>
      </c>
      <c r="L126" s="313"/>
      <c r="M126" s="61"/>
      <c r="N126" s="61"/>
      <c r="O126" s="61"/>
      <c r="P126" s="61"/>
      <c r="Q126" s="61"/>
      <c r="R126" s="61"/>
    </row>
    <row r="127" spans="1:19" ht="15" thickBot="1">
      <c r="A127">
        <v>16</v>
      </c>
      <c r="B127" s="4" t="s">
        <v>60</v>
      </c>
      <c r="C127" s="84">
        <v>60</v>
      </c>
      <c r="D127" s="85">
        <v>97.5</v>
      </c>
      <c r="E127" s="313">
        <f t="shared" si="5"/>
        <v>102.66749999999999</v>
      </c>
      <c r="F127" s="61"/>
      <c r="H127" s="61">
        <v>75</v>
      </c>
      <c r="I127" s="118" t="s">
        <v>67</v>
      </c>
      <c r="J127" s="84">
        <v>259</v>
      </c>
      <c r="K127" s="128">
        <v>336.7</v>
      </c>
      <c r="L127" s="313">
        <f t="shared" si="6"/>
        <v>354.54509999999999</v>
      </c>
      <c r="M127" s="61"/>
      <c r="N127" s="61"/>
      <c r="O127" s="61"/>
      <c r="P127" s="61"/>
      <c r="Q127" s="61"/>
      <c r="R127" s="61"/>
    </row>
    <row r="128" spans="1:19" ht="15" thickBot="1">
      <c r="A128">
        <v>17</v>
      </c>
      <c r="B128" t="s">
        <v>62</v>
      </c>
      <c r="C128" s="84">
        <v>60</v>
      </c>
      <c r="D128" s="85">
        <v>97.5</v>
      </c>
      <c r="E128" s="313">
        <f t="shared" si="5"/>
        <v>102.66749999999999</v>
      </c>
      <c r="F128" s="61"/>
      <c r="H128" s="61">
        <v>76</v>
      </c>
      <c r="I128" s="118" t="s">
        <v>69</v>
      </c>
      <c r="J128" s="84" t="s">
        <v>32</v>
      </c>
      <c r="K128" s="128" t="s">
        <v>32</v>
      </c>
      <c r="L128" s="313"/>
      <c r="M128" s="61"/>
      <c r="N128" s="61"/>
      <c r="O128" s="61"/>
      <c r="P128" s="61"/>
      <c r="Q128" s="61"/>
      <c r="R128" s="61"/>
    </row>
    <row r="129" spans="1:18" ht="15" thickBot="1">
      <c r="A129">
        <v>18</v>
      </c>
      <c r="B129" t="s">
        <v>64</v>
      </c>
      <c r="C129" s="84">
        <v>90</v>
      </c>
      <c r="D129" s="85">
        <v>175.5</v>
      </c>
      <c r="E129" s="313">
        <f t="shared" si="5"/>
        <v>184.80149999999998</v>
      </c>
      <c r="F129" s="61"/>
      <c r="H129" s="61">
        <v>77</v>
      </c>
      <c r="I129" s="118" t="s">
        <v>71</v>
      </c>
      <c r="J129" s="84">
        <v>490</v>
      </c>
      <c r="K129" s="128">
        <v>299</v>
      </c>
      <c r="L129" s="313">
        <f t="shared" si="6"/>
        <v>314.84699999999998</v>
      </c>
      <c r="M129" s="61" t="s">
        <v>215</v>
      </c>
      <c r="N129" s="61"/>
      <c r="O129" s="61"/>
      <c r="P129" s="61"/>
      <c r="Q129" s="61"/>
      <c r="R129" s="61"/>
    </row>
    <row r="130" spans="1:18" ht="15" thickBot="1">
      <c r="A130">
        <v>19</v>
      </c>
      <c r="B130" t="s">
        <v>66</v>
      </c>
      <c r="C130" s="84">
        <v>70</v>
      </c>
      <c r="D130" s="85">
        <v>97.5</v>
      </c>
      <c r="E130" s="313">
        <f t="shared" si="5"/>
        <v>102.66749999999999</v>
      </c>
      <c r="F130" s="61"/>
      <c r="H130" s="61">
        <v>78</v>
      </c>
      <c r="I130" s="118" t="s">
        <v>73</v>
      </c>
      <c r="J130" s="84" t="s">
        <v>32</v>
      </c>
      <c r="K130" s="128" t="s">
        <v>32</v>
      </c>
      <c r="L130" s="313"/>
      <c r="M130" s="61"/>
      <c r="N130" s="61"/>
      <c r="O130" s="61"/>
      <c r="P130" s="61"/>
      <c r="Q130" s="61"/>
      <c r="R130" s="61"/>
    </row>
    <row r="131" spans="1:18" ht="15" thickBot="1">
      <c r="A131">
        <v>20</v>
      </c>
      <c r="B131" t="s">
        <v>68</v>
      </c>
      <c r="C131" s="84">
        <v>75</v>
      </c>
      <c r="D131" s="85">
        <v>188.5</v>
      </c>
      <c r="E131" s="313">
        <f t="shared" si="5"/>
        <v>198.4905</v>
      </c>
      <c r="F131" s="61"/>
      <c r="H131" s="61">
        <v>79</v>
      </c>
      <c r="I131" s="118" t="s">
        <v>75</v>
      </c>
      <c r="J131" s="84" t="s">
        <v>57</v>
      </c>
      <c r="K131" s="128" t="s">
        <v>208</v>
      </c>
      <c r="L131" s="313"/>
      <c r="M131" s="61"/>
      <c r="N131" s="61"/>
      <c r="O131" s="61"/>
      <c r="P131" s="61"/>
      <c r="Q131" s="61"/>
      <c r="R131" s="61"/>
    </row>
    <row r="132" spans="1:18" ht="15" thickBot="1">
      <c r="A132">
        <v>21</v>
      </c>
      <c r="B132" t="s">
        <v>70</v>
      </c>
      <c r="C132" s="84">
        <v>80</v>
      </c>
      <c r="D132" s="85">
        <v>136.5</v>
      </c>
      <c r="E132" s="313">
        <f t="shared" si="5"/>
        <v>143.7345</v>
      </c>
      <c r="F132" s="61"/>
      <c r="H132" s="61">
        <v>80</v>
      </c>
      <c r="I132" s="118" t="s">
        <v>78</v>
      </c>
      <c r="J132" s="84">
        <v>1200</v>
      </c>
      <c r="K132" s="128">
        <v>1033.5</v>
      </c>
      <c r="L132" s="313">
        <f t="shared" si="6"/>
        <v>1088.2755</v>
      </c>
      <c r="M132" s="61"/>
      <c r="N132" s="61"/>
      <c r="O132" s="61"/>
      <c r="P132" s="61"/>
      <c r="Q132" s="61"/>
      <c r="R132" s="61"/>
    </row>
    <row r="133" spans="1:18" ht="15" thickBot="1">
      <c r="A133">
        <v>22</v>
      </c>
      <c r="B133" t="s">
        <v>72</v>
      </c>
      <c r="C133" s="84">
        <v>50</v>
      </c>
      <c r="D133" s="85">
        <v>65</v>
      </c>
      <c r="E133" s="313">
        <f t="shared" si="5"/>
        <v>68.444999999999993</v>
      </c>
      <c r="F133" s="61"/>
      <c r="H133" s="61">
        <v>81</v>
      </c>
      <c r="I133" s="118" t="s">
        <v>80</v>
      </c>
      <c r="J133" s="84" t="s">
        <v>57</v>
      </c>
      <c r="K133" s="128" t="s">
        <v>208</v>
      </c>
      <c r="L133" s="313"/>
      <c r="M133" s="61"/>
      <c r="N133" s="61"/>
      <c r="O133" s="61"/>
      <c r="P133" s="61"/>
      <c r="Q133" s="61"/>
      <c r="R133" s="61"/>
    </row>
    <row r="134" spans="1:18" ht="15" thickBot="1">
      <c r="A134">
        <v>23</v>
      </c>
      <c r="B134" t="s">
        <v>74</v>
      </c>
      <c r="C134" s="84">
        <v>100</v>
      </c>
      <c r="D134" s="128">
        <v>130</v>
      </c>
      <c r="E134" s="313">
        <f t="shared" si="5"/>
        <v>136.88999999999999</v>
      </c>
      <c r="F134" s="61"/>
      <c r="H134" s="61">
        <v>82</v>
      </c>
      <c r="I134" s="118" t="s">
        <v>82</v>
      </c>
      <c r="J134" s="84">
        <v>225</v>
      </c>
      <c r="K134" s="128">
        <v>130</v>
      </c>
      <c r="L134" s="313">
        <f t="shared" si="6"/>
        <v>136.88999999999999</v>
      </c>
      <c r="M134" s="61"/>
      <c r="N134" s="61"/>
      <c r="O134" s="61"/>
      <c r="P134" s="61"/>
      <c r="Q134" s="61"/>
      <c r="R134" s="61"/>
    </row>
    <row r="135" spans="1:18" ht="15" thickBot="1">
      <c r="A135">
        <v>24</v>
      </c>
      <c r="B135" t="s">
        <v>76</v>
      </c>
      <c r="C135" s="84">
        <v>1600</v>
      </c>
      <c r="D135" s="128" t="s">
        <v>209</v>
      </c>
      <c r="E135" s="313"/>
      <c r="F135" s="61"/>
      <c r="H135" s="61">
        <v>83</v>
      </c>
      <c r="I135" s="118" t="s">
        <v>84</v>
      </c>
      <c r="J135" s="84" t="s">
        <v>57</v>
      </c>
      <c r="K135" s="128" t="s">
        <v>208</v>
      </c>
      <c r="L135" s="313"/>
      <c r="M135" s="61"/>
      <c r="N135" s="61"/>
      <c r="O135" s="61"/>
      <c r="P135" s="61"/>
      <c r="Q135" s="61"/>
      <c r="R135" s="61"/>
    </row>
    <row r="136" spans="1:18" ht="15" thickBot="1">
      <c r="A136">
        <v>25</v>
      </c>
      <c r="B136" s="4" t="s">
        <v>83</v>
      </c>
      <c r="C136" s="84">
        <v>175</v>
      </c>
      <c r="D136" s="128">
        <v>325</v>
      </c>
      <c r="E136" s="313">
        <f t="shared" si="5"/>
        <v>342.22499999999997</v>
      </c>
      <c r="F136" s="61" t="s">
        <v>216</v>
      </c>
      <c r="H136" s="61">
        <v>84</v>
      </c>
      <c r="I136" s="118" t="s">
        <v>86</v>
      </c>
      <c r="J136" s="84" t="s">
        <v>209</v>
      </c>
      <c r="K136" s="128" t="s">
        <v>32</v>
      </c>
      <c r="L136" s="313"/>
      <c r="M136" s="61"/>
      <c r="N136" s="61"/>
      <c r="O136" s="61"/>
      <c r="P136" s="61"/>
      <c r="Q136" s="61"/>
      <c r="R136" s="61"/>
    </row>
    <row r="137" spans="1:18" ht="15" thickBot="1">
      <c r="A137">
        <v>26</v>
      </c>
      <c r="B137" s="4" t="s">
        <v>85</v>
      </c>
      <c r="C137" s="84">
        <v>975</v>
      </c>
      <c r="D137" s="128">
        <v>845</v>
      </c>
      <c r="E137" s="313">
        <f t="shared" si="5"/>
        <v>889.78499999999997</v>
      </c>
      <c r="F137" s="61"/>
      <c r="H137" s="61">
        <v>85</v>
      </c>
      <c r="I137" s="118" t="s">
        <v>88</v>
      </c>
      <c r="J137" s="84" t="s">
        <v>209</v>
      </c>
      <c r="K137" s="128" t="s">
        <v>32</v>
      </c>
      <c r="L137" s="313"/>
      <c r="M137" s="61"/>
      <c r="N137" s="61"/>
      <c r="O137" s="61"/>
      <c r="P137" s="61"/>
      <c r="Q137" s="61"/>
      <c r="R137" s="61"/>
    </row>
    <row r="138" spans="1:18" ht="15" thickBot="1">
      <c r="A138">
        <v>27</v>
      </c>
      <c r="B138" s="4" t="s">
        <v>87</v>
      </c>
      <c r="C138" s="84">
        <v>975</v>
      </c>
      <c r="D138" s="128">
        <v>858</v>
      </c>
      <c r="E138" s="313">
        <f t="shared" si="5"/>
        <v>903.47399999999993</v>
      </c>
      <c r="F138" s="61"/>
      <c r="H138" s="61">
        <v>86</v>
      </c>
      <c r="I138" s="61" t="s">
        <v>90</v>
      </c>
      <c r="J138" s="84">
        <v>825</v>
      </c>
      <c r="K138" s="128" t="s">
        <v>209</v>
      </c>
      <c r="L138" s="313"/>
      <c r="M138" s="61" t="s">
        <v>217</v>
      </c>
      <c r="N138" s="61"/>
      <c r="O138" s="61"/>
      <c r="P138" s="61"/>
      <c r="Q138" s="61"/>
      <c r="R138" s="61"/>
    </row>
    <row r="139" spans="1:18" ht="15" thickBot="1">
      <c r="A139">
        <v>28</v>
      </c>
      <c r="B139" s="4" t="s">
        <v>89</v>
      </c>
      <c r="C139" s="84">
        <v>1295</v>
      </c>
      <c r="D139" s="128">
        <v>1163.5</v>
      </c>
      <c r="E139" s="313">
        <f t="shared" si="5"/>
        <v>1225.1654999999998</v>
      </c>
      <c r="F139" s="61"/>
      <c r="H139" s="61">
        <v>87</v>
      </c>
      <c r="I139" s="61" t="s">
        <v>94</v>
      </c>
      <c r="J139" s="84">
        <v>375</v>
      </c>
      <c r="K139" s="128">
        <v>487.5</v>
      </c>
      <c r="L139" s="313">
        <f t="shared" si="6"/>
        <v>513.33749999999998</v>
      </c>
      <c r="M139" s="61"/>
      <c r="N139" s="61"/>
      <c r="O139" s="61"/>
      <c r="P139" s="61"/>
      <c r="Q139" s="61"/>
      <c r="R139" s="61"/>
    </row>
    <row r="140" spans="1:18" ht="15" thickBot="1">
      <c r="A140">
        <v>29</v>
      </c>
      <c r="B140" t="s">
        <v>91</v>
      </c>
      <c r="C140" s="84">
        <v>-100</v>
      </c>
      <c r="D140" s="128">
        <v>-100</v>
      </c>
      <c r="E140" s="313">
        <f t="shared" si="5"/>
        <v>-105.3</v>
      </c>
      <c r="F140" s="61"/>
      <c r="H140" s="61">
        <v>88</v>
      </c>
      <c r="I140" s="61" t="s">
        <v>96</v>
      </c>
      <c r="J140" s="84" t="s">
        <v>32</v>
      </c>
      <c r="K140" s="128" t="s">
        <v>32</v>
      </c>
      <c r="L140" s="313"/>
      <c r="M140" s="61"/>
      <c r="N140" s="61"/>
      <c r="O140" s="61"/>
      <c r="P140" s="61"/>
      <c r="Q140" s="61"/>
      <c r="R140" s="61"/>
    </row>
    <row r="141" spans="1:18" ht="15" thickBot="1">
      <c r="A141">
        <v>30</v>
      </c>
      <c r="B141" t="s">
        <v>93</v>
      </c>
      <c r="C141" s="84">
        <v>-100</v>
      </c>
      <c r="D141" s="128">
        <v>-100</v>
      </c>
      <c r="E141" s="313">
        <f t="shared" si="5"/>
        <v>-105.3</v>
      </c>
      <c r="F141" s="61"/>
      <c r="H141" s="61">
        <v>89</v>
      </c>
      <c r="I141" s="61" t="s">
        <v>302</v>
      </c>
      <c r="J141" s="84" t="s">
        <v>32</v>
      </c>
      <c r="K141" s="128" t="s">
        <v>32</v>
      </c>
      <c r="L141" s="313"/>
      <c r="M141" s="61"/>
      <c r="N141" s="61"/>
      <c r="O141" s="61"/>
      <c r="P141" s="61"/>
      <c r="Q141" s="61"/>
      <c r="R141" s="61"/>
    </row>
    <row r="142" spans="1:18" ht="15" thickBot="1">
      <c r="A142">
        <v>31</v>
      </c>
      <c r="B142" t="s">
        <v>95</v>
      </c>
      <c r="C142" s="84">
        <v>1953</v>
      </c>
      <c r="D142" s="128">
        <v>2307.5</v>
      </c>
      <c r="E142" s="313">
        <f t="shared" si="5"/>
        <v>2429.7974999999997</v>
      </c>
      <c r="F142" s="61"/>
      <c r="H142" s="61">
        <v>90</v>
      </c>
      <c r="I142" s="118" t="s">
        <v>302</v>
      </c>
      <c r="J142" s="84" t="s">
        <v>32</v>
      </c>
      <c r="K142" s="128" t="s">
        <v>32</v>
      </c>
      <c r="L142" s="313"/>
      <c r="M142" s="61"/>
      <c r="N142" s="61"/>
      <c r="O142" s="61"/>
      <c r="P142" s="61"/>
      <c r="Q142" s="61"/>
      <c r="R142" s="61"/>
    </row>
    <row r="143" spans="1:18" ht="15" thickBot="1">
      <c r="A143">
        <v>32</v>
      </c>
      <c r="B143" t="s">
        <v>97</v>
      </c>
      <c r="C143" s="84">
        <v>2915</v>
      </c>
      <c r="D143" s="128">
        <v>3445</v>
      </c>
      <c r="E143" s="313">
        <f t="shared" si="5"/>
        <v>3627.5849999999996</v>
      </c>
      <c r="F143" s="61"/>
      <c r="H143" s="61">
        <v>91</v>
      </c>
      <c r="I143" s="118" t="s">
        <v>100</v>
      </c>
      <c r="J143" s="84">
        <v>2805</v>
      </c>
      <c r="K143" s="128">
        <v>3867.5</v>
      </c>
      <c r="L143" s="313">
        <f t="shared" si="6"/>
        <v>4072.4775</v>
      </c>
      <c r="M143" s="61"/>
      <c r="N143" s="61"/>
      <c r="O143" s="61"/>
      <c r="P143" s="61"/>
      <c r="Q143" s="61"/>
      <c r="R143" s="61"/>
    </row>
    <row r="144" spans="1:18" ht="15" thickBot="1">
      <c r="A144">
        <v>33</v>
      </c>
      <c r="B144" t="s">
        <v>99</v>
      </c>
      <c r="C144" s="84" t="s">
        <v>209</v>
      </c>
      <c r="D144" s="128" t="s">
        <v>32</v>
      </c>
      <c r="E144" s="313"/>
      <c r="F144" s="61"/>
      <c r="H144" s="61">
        <v>92</v>
      </c>
      <c r="I144" s="118" t="s">
        <v>102</v>
      </c>
      <c r="J144" s="84">
        <v>4725</v>
      </c>
      <c r="K144" s="128">
        <v>6142.5</v>
      </c>
      <c r="L144" s="313">
        <f t="shared" si="6"/>
        <v>6468.0524999999998</v>
      </c>
      <c r="M144" s="61"/>
      <c r="N144" s="61"/>
      <c r="O144" s="61"/>
      <c r="P144" s="61"/>
      <c r="Q144" s="61"/>
      <c r="R144" s="61"/>
    </row>
    <row r="145" spans="1:18" ht="15" thickBot="1">
      <c r="A145">
        <v>34</v>
      </c>
      <c r="B145" t="s">
        <v>101</v>
      </c>
      <c r="C145" s="84" t="s">
        <v>209</v>
      </c>
      <c r="D145" s="128" t="s">
        <v>32</v>
      </c>
      <c r="E145" s="313"/>
      <c r="F145" s="61"/>
      <c r="H145" s="61">
        <v>93</v>
      </c>
      <c r="I145" s="118" t="s">
        <v>104</v>
      </c>
      <c r="J145" s="84">
        <v>7002</v>
      </c>
      <c r="K145" s="128">
        <v>8274.5</v>
      </c>
      <c r="L145" s="313">
        <f t="shared" si="6"/>
        <v>8713.048499999999</v>
      </c>
      <c r="M145" s="61"/>
      <c r="N145" s="61"/>
      <c r="O145" s="61"/>
      <c r="P145" s="61"/>
      <c r="Q145" s="61"/>
      <c r="R145" s="61"/>
    </row>
    <row r="146" spans="1:18" ht="15" thickBot="1">
      <c r="A146">
        <v>35</v>
      </c>
      <c r="B146" t="s">
        <v>103</v>
      </c>
      <c r="C146" s="84">
        <v>30</v>
      </c>
      <c r="D146" s="128">
        <v>39</v>
      </c>
      <c r="E146" s="313">
        <f t="shared" si="5"/>
        <v>41.067</v>
      </c>
      <c r="F146" s="61"/>
      <c r="H146" s="61">
        <v>94</v>
      </c>
      <c r="I146" s="61" t="s">
        <v>106</v>
      </c>
      <c r="J146" s="84">
        <v>5275</v>
      </c>
      <c r="K146" s="128">
        <v>7013.5</v>
      </c>
      <c r="L146" s="313">
        <f t="shared" si="6"/>
        <v>7385.2154999999993</v>
      </c>
      <c r="M146" s="61"/>
      <c r="N146" s="61"/>
      <c r="O146" s="61"/>
      <c r="P146" s="61"/>
      <c r="Q146" s="61"/>
      <c r="R146" s="61"/>
    </row>
    <row r="147" spans="1:18" ht="15" thickBot="1">
      <c r="A147">
        <v>36</v>
      </c>
      <c r="B147" t="s">
        <v>105</v>
      </c>
      <c r="C147" s="84">
        <v>30</v>
      </c>
      <c r="D147" s="128">
        <v>39</v>
      </c>
      <c r="E147" s="313">
        <f t="shared" si="5"/>
        <v>41.067</v>
      </c>
      <c r="F147" s="61"/>
      <c r="H147" s="61">
        <v>95</v>
      </c>
      <c r="I147" s="118" t="s">
        <v>108</v>
      </c>
      <c r="J147" s="84">
        <v>385</v>
      </c>
      <c r="K147" s="128">
        <v>455</v>
      </c>
      <c r="L147" s="313">
        <f t="shared" si="6"/>
        <v>479.11499999999995</v>
      </c>
      <c r="M147" s="61"/>
      <c r="N147" s="61"/>
      <c r="O147" s="61"/>
      <c r="P147" s="61"/>
      <c r="Q147" s="61"/>
      <c r="R147" s="61"/>
    </row>
    <row r="148" spans="1:18" ht="15" thickBot="1">
      <c r="A148">
        <v>37</v>
      </c>
      <c r="B148" t="s">
        <v>107</v>
      </c>
      <c r="C148" s="84">
        <v>-10</v>
      </c>
      <c r="D148" s="128">
        <v>-10</v>
      </c>
      <c r="E148" s="313">
        <f t="shared" si="5"/>
        <v>-10.53</v>
      </c>
      <c r="F148" s="61" t="s">
        <v>335</v>
      </c>
      <c r="H148" s="61">
        <v>96</v>
      </c>
      <c r="I148" s="118" t="s">
        <v>110</v>
      </c>
      <c r="J148" s="84">
        <v>875</v>
      </c>
      <c r="K148" s="128" t="s">
        <v>209</v>
      </c>
      <c r="L148" s="313"/>
      <c r="M148" s="61"/>
      <c r="N148" s="61"/>
      <c r="O148" s="61"/>
      <c r="P148" s="61"/>
      <c r="Q148" s="61"/>
      <c r="R148" s="61"/>
    </row>
    <row r="149" spans="1:18" ht="15" thickBot="1">
      <c r="A149">
        <v>38</v>
      </c>
      <c r="B149" s="4" t="s">
        <v>115</v>
      </c>
      <c r="C149" s="84" t="s">
        <v>209</v>
      </c>
      <c r="D149" s="128" t="s">
        <v>32</v>
      </c>
      <c r="E149" s="313"/>
      <c r="F149" s="61"/>
      <c r="H149" s="61">
        <v>97</v>
      </c>
      <c r="I149" s="118" t="s">
        <v>112</v>
      </c>
      <c r="J149" s="84" t="s">
        <v>209</v>
      </c>
      <c r="K149" s="128" t="s">
        <v>209</v>
      </c>
      <c r="L149" s="313"/>
      <c r="M149" s="61"/>
      <c r="N149" s="61"/>
      <c r="O149" s="61"/>
      <c r="P149" s="61"/>
      <c r="Q149" s="61"/>
      <c r="R149" s="61"/>
    </row>
    <row r="150" spans="1:18" ht="15" thickBot="1">
      <c r="A150">
        <v>39</v>
      </c>
      <c r="B150" s="4" t="s">
        <v>117</v>
      </c>
      <c r="C150" s="84">
        <v>0</v>
      </c>
      <c r="D150" s="128">
        <v>0</v>
      </c>
      <c r="E150" s="313">
        <f t="shared" si="5"/>
        <v>0</v>
      </c>
      <c r="F150" s="61"/>
      <c r="H150" s="61">
        <v>98</v>
      </c>
      <c r="I150" s="61" t="s">
        <v>114</v>
      </c>
      <c r="J150" s="84">
        <v>4068</v>
      </c>
      <c r="K150" s="127">
        <v>5288.4000000000005</v>
      </c>
      <c r="L150" s="313">
        <f t="shared" si="6"/>
        <v>5568.6851999999999</v>
      </c>
      <c r="M150" s="61"/>
      <c r="N150" s="61"/>
      <c r="O150" s="61"/>
      <c r="P150" s="61"/>
      <c r="Q150" s="61"/>
      <c r="R150" s="61"/>
    </row>
    <row r="151" spans="1:18" ht="15" thickBot="1">
      <c r="A151">
        <v>40</v>
      </c>
      <c r="B151" t="s">
        <v>119</v>
      </c>
      <c r="C151" s="84">
        <v>820</v>
      </c>
      <c r="D151" s="128">
        <v>1170</v>
      </c>
      <c r="E151" s="313">
        <f t="shared" si="5"/>
        <v>1232.01</v>
      </c>
      <c r="F151" s="61"/>
      <c r="H151" s="61">
        <v>99</v>
      </c>
      <c r="I151" s="61" t="s">
        <v>116</v>
      </c>
      <c r="J151" s="84">
        <v>6186</v>
      </c>
      <c r="K151" s="127">
        <v>8041.8</v>
      </c>
      <c r="L151" s="313">
        <f t="shared" si="6"/>
        <v>8468.0154000000002</v>
      </c>
      <c r="M151" s="61"/>
      <c r="N151" s="61"/>
      <c r="O151" s="61"/>
      <c r="P151" s="61"/>
      <c r="Q151" s="61"/>
      <c r="R151" s="61"/>
    </row>
    <row r="152" spans="1:18" ht="15" thickBot="1">
      <c r="A152">
        <v>41</v>
      </c>
      <c r="B152" t="s">
        <v>121</v>
      </c>
      <c r="C152" s="84">
        <v>40</v>
      </c>
      <c r="D152" s="85">
        <v>26</v>
      </c>
      <c r="E152" s="313">
        <f t="shared" si="5"/>
        <v>27.378</v>
      </c>
      <c r="F152" s="61"/>
      <c r="H152" s="61">
        <v>100</v>
      </c>
      <c r="I152" s="61" t="s">
        <v>118</v>
      </c>
      <c r="J152" s="84">
        <v>8550</v>
      </c>
      <c r="K152" s="127">
        <v>11115</v>
      </c>
      <c r="L152" s="313">
        <f t="shared" si="6"/>
        <v>11704.094999999999</v>
      </c>
      <c r="M152" s="61"/>
      <c r="N152" s="61"/>
      <c r="O152" s="61"/>
      <c r="P152" s="61"/>
      <c r="Q152" s="61"/>
      <c r="R152" s="61"/>
    </row>
    <row r="153" spans="1:18" ht="15" thickBot="1">
      <c r="A153">
        <v>42</v>
      </c>
      <c r="B153" t="s">
        <v>123</v>
      </c>
      <c r="C153" s="84">
        <v>250</v>
      </c>
      <c r="D153" s="128">
        <v>260</v>
      </c>
      <c r="E153" s="313">
        <f t="shared" si="5"/>
        <v>273.77999999999997</v>
      </c>
      <c r="F153" s="61"/>
      <c r="H153" s="61">
        <v>101</v>
      </c>
      <c r="I153" s="61" t="s">
        <v>120</v>
      </c>
      <c r="J153" s="84">
        <v>500</v>
      </c>
      <c r="K153" s="127">
        <v>650</v>
      </c>
      <c r="L153" s="313">
        <f t="shared" si="6"/>
        <v>684.44999999999993</v>
      </c>
      <c r="M153" s="61" t="s">
        <v>221</v>
      </c>
      <c r="N153" s="61"/>
      <c r="O153" s="61"/>
      <c r="P153" s="61"/>
      <c r="Q153" s="61"/>
      <c r="R153" s="61"/>
    </row>
    <row r="154" spans="1:18" ht="15" thickBot="1">
      <c r="A154">
        <v>43</v>
      </c>
      <c r="B154" t="s">
        <v>125</v>
      </c>
      <c r="C154" s="84">
        <v>695</v>
      </c>
      <c r="D154" s="128">
        <v>663</v>
      </c>
      <c r="E154" s="313">
        <f t="shared" si="5"/>
        <v>698.13900000000001</v>
      </c>
      <c r="F154" s="61"/>
      <c r="H154" s="61">
        <v>102</v>
      </c>
      <c r="I154" s="61" t="s">
        <v>122</v>
      </c>
      <c r="J154" s="84">
        <v>3300</v>
      </c>
      <c r="K154" s="127">
        <v>4290</v>
      </c>
      <c r="L154" s="313">
        <f t="shared" si="6"/>
        <v>4517.37</v>
      </c>
      <c r="M154" s="61"/>
      <c r="N154" s="61"/>
      <c r="O154" s="61"/>
      <c r="P154" s="61"/>
      <c r="Q154" s="61"/>
      <c r="R154" s="61"/>
    </row>
    <row r="155" spans="1:18" ht="15" thickBot="1">
      <c r="A155">
        <v>44</v>
      </c>
      <c r="B155" t="s">
        <v>127</v>
      </c>
      <c r="C155" s="84">
        <v>165</v>
      </c>
      <c r="D155" s="128">
        <v>260</v>
      </c>
      <c r="E155" s="313">
        <f t="shared" si="5"/>
        <v>273.77999999999997</v>
      </c>
      <c r="F155" s="61"/>
      <c r="H155" s="61">
        <v>103</v>
      </c>
      <c r="I155" s="61" t="s">
        <v>124</v>
      </c>
      <c r="J155" s="84">
        <v>4020</v>
      </c>
      <c r="K155" s="127">
        <v>5226</v>
      </c>
      <c r="L155" s="313">
        <f t="shared" si="6"/>
        <v>5502.9780000000001</v>
      </c>
      <c r="M155" s="61"/>
      <c r="N155" s="61"/>
      <c r="O155" s="61"/>
      <c r="P155" s="61"/>
      <c r="Q155" s="61"/>
      <c r="R155" s="61"/>
    </row>
    <row r="156" spans="1:18" ht="15" thickBot="1">
      <c r="A156">
        <v>45</v>
      </c>
      <c r="B156" s="4" t="s">
        <v>129</v>
      </c>
      <c r="C156" s="84" t="s">
        <v>32</v>
      </c>
      <c r="D156" s="128" t="s">
        <v>32</v>
      </c>
      <c r="E156" s="313"/>
      <c r="F156" s="61"/>
      <c r="H156" s="61">
        <v>104</v>
      </c>
      <c r="I156" s="61" t="s">
        <v>126</v>
      </c>
      <c r="J156" s="84">
        <v>5220</v>
      </c>
      <c r="K156" s="127">
        <v>6786</v>
      </c>
      <c r="L156" s="313">
        <f t="shared" si="6"/>
        <v>7145.6579999999994</v>
      </c>
      <c r="M156" s="61"/>
      <c r="N156" s="61"/>
      <c r="O156" s="61"/>
      <c r="P156" s="61"/>
      <c r="Q156" s="61"/>
      <c r="R156" s="61"/>
    </row>
    <row r="157" spans="1:18" ht="15" thickBot="1">
      <c r="A157">
        <v>46</v>
      </c>
      <c r="B157" s="4" t="s">
        <v>131</v>
      </c>
      <c r="C157" s="84" t="s">
        <v>32</v>
      </c>
      <c r="D157" s="86" t="s">
        <v>32</v>
      </c>
      <c r="E157" s="313"/>
      <c r="F157" s="61"/>
      <c r="H157" s="61">
        <v>105</v>
      </c>
      <c r="I157" s="61" t="s">
        <v>128</v>
      </c>
      <c r="J157" s="84">
        <v>5766</v>
      </c>
      <c r="K157" s="127">
        <v>7495.8</v>
      </c>
      <c r="L157" s="313">
        <f t="shared" si="6"/>
        <v>7893.0774000000001</v>
      </c>
      <c r="M157" s="61"/>
      <c r="N157" s="61"/>
      <c r="O157" s="61"/>
      <c r="P157" s="61"/>
      <c r="Q157" s="61"/>
      <c r="R157" s="61"/>
    </row>
    <row r="158" spans="1:18" ht="15" thickBot="1">
      <c r="A158">
        <v>47</v>
      </c>
      <c r="B158" s="4" t="s">
        <v>133</v>
      </c>
      <c r="C158" s="84">
        <v>6323</v>
      </c>
      <c r="D158" s="128">
        <v>8417.5</v>
      </c>
      <c r="E158" s="313">
        <f t="shared" si="5"/>
        <v>8863.6274999999987</v>
      </c>
      <c r="F158" s="61"/>
      <c r="H158" s="61">
        <v>106</v>
      </c>
      <c r="I158" s="118" t="s">
        <v>130</v>
      </c>
      <c r="J158" s="84">
        <v>3933</v>
      </c>
      <c r="K158" s="127">
        <v>4647.5</v>
      </c>
      <c r="L158" s="313">
        <f t="shared" si="6"/>
        <v>4893.8175000000001</v>
      </c>
      <c r="M158" s="61"/>
      <c r="N158" s="61"/>
      <c r="O158" s="61"/>
      <c r="P158" s="61"/>
      <c r="Q158" s="61"/>
      <c r="R158" s="61"/>
    </row>
    <row r="159" spans="1:18" ht="15" thickBot="1">
      <c r="A159">
        <v>48</v>
      </c>
      <c r="B159" s="4" t="s">
        <v>135</v>
      </c>
      <c r="C159" s="84">
        <v>7576</v>
      </c>
      <c r="D159" s="128">
        <v>9067.5</v>
      </c>
      <c r="E159" s="313">
        <f t="shared" si="5"/>
        <v>9548.0774999999994</v>
      </c>
      <c r="F159" s="61"/>
      <c r="H159" s="61">
        <v>107</v>
      </c>
      <c r="I159" s="118" t="s">
        <v>134</v>
      </c>
      <c r="J159" s="84">
        <v>1760</v>
      </c>
      <c r="K159" s="127">
        <v>2340</v>
      </c>
      <c r="L159" s="313">
        <f t="shared" si="6"/>
        <v>2464.02</v>
      </c>
      <c r="M159" s="61"/>
      <c r="N159" s="61"/>
      <c r="O159" s="61"/>
      <c r="P159" s="61"/>
      <c r="Q159" s="61"/>
      <c r="R159" s="61"/>
    </row>
    <row r="160" spans="1:18" ht="15" thickBot="1">
      <c r="A160">
        <v>49</v>
      </c>
      <c r="B160" s="4" t="s">
        <v>137</v>
      </c>
      <c r="C160" s="84">
        <v>675</v>
      </c>
      <c r="D160" s="128">
        <v>877.5</v>
      </c>
      <c r="E160" s="313">
        <f t="shared" si="5"/>
        <v>924.00749999999994</v>
      </c>
      <c r="F160" s="61"/>
      <c r="H160" s="61">
        <v>108</v>
      </c>
      <c r="I160" s="118" t="s">
        <v>132</v>
      </c>
      <c r="J160" s="84">
        <v>4395</v>
      </c>
      <c r="K160" s="127">
        <v>5453.5</v>
      </c>
      <c r="L160" s="313">
        <f t="shared" si="6"/>
        <v>5742.5355</v>
      </c>
      <c r="M160" s="61"/>
      <c r="N160" s="61"/>
      <c r="O160" s="61"/>
      <c r="P160" s="61"/>
      <c r="Q160" s="61"/>
      <c r="R160" s="61"/>
    </row>
    <row r="161" spans="1:18" ht="15" thickBot="1">
      <c r="A161">
        <v>50</v>
      </c>
      <c r="B161" s="4" t="s">
        <v>139</v>
      </c>
      <c r="C161" s="84" t="s">
        <v>32</v>
      </c>
      <c r="D161" s="128" t="s">
        <v>32</v>
      </c>
      <c r="E161" s="313"/>
      <c r="F161" s="61"/>
      <c r="H161" s="61">
        <v>109</v>
      </c>
      <c r="I161" s="118" t="s">
        <v>136</v>
      </c>
      <c r="J161" s="84">
        <v>1795</v>
      </c>
      <c r="K161" s="127">
        <v>1280.5</v>
      </c>
      <c r="L161" s="313">
        <f t="shared" si="6"/>
        <v>1348.3664999999999</v>
      </c>
      <c r="M161" s="61"/>
      <c r="N161" s="61"/>
      <c r="O161" s="61"/>
      <c r="P161" s="61"/>
      <c r="Q161" s="61"/>
      <c r="R161" s="61"/>
    </row>
    <row r="162" spans="1:18" ht="15" thickBot="1">
      <c r="A162">
        <v>51</v>
      </c>
      <c r="B162" s="4" t="s">
        <v>145</v>
      </c>
      <c r="C162" s="84">
        <v>4360</v>
      </c>
      <c r="D162" s="128">
        <v>3893.5</v>
      </c>
      <c r="E162" s="313">
        <f t="shared" si="5"/>
        <v>4099.8554999999997</v>
      </c>
      <c r="F162" s="61"/>
      <c r="H162" s="61">
        <v>110</v>
      </c>
      <c r="I162" s="61" t="s">
        <v>138</v>
      </c>
      <c r="J162" s="84">
        <v>5514</v>
      </c>
      <c r="K162" s="127">
        <v>6103.5</v>
      </c>
      <c r="L162" s="313">
        <f t="shared" si="6"/>
        <v>6426.9854999999998</v>
      </c>
      <c r="M162" s="61"/>
      <c r="N162" s="61"/>
      <c r="O162" s="61"/>
      <c r="P162" s="61"/>
      <c r="Q162" s="61"/>
      <c r="R162" s="61"/>
    </row>
    <row r="163" spans="1:18" ht="15" thickBot="1">
      <c r="A163">
        <v>52</v>
      </c>
      <c r="B163" s="4" t="s">
        <v>336</v>
      </c>
      <c r="C163" s="84" t="s">
        <v>32</v>
      </c>
      <c r="D163" s="128" t="s">
        <v>32</v>
      </c>
      <c r="E163" s="313"/>
      <c r="F163" s="61"/>
      <c r="H163" s="61">
        <v>111</v>
      </c>
      <c r="I163" s="61" t="s">
        <v>140</v>
      </c>
      <c r="J163" s="84">
        <v>2640</v>
      </c>
      <c r="K163" s="127">
        <v>3250</v>
      </c>
      <c r="L163" s="313">
        <f t="shared" si="6"/>
        <v>3422.25</v>
      </c>
      <c r="M163" s="61"/>
      <c r="N163" s="61"/>
      <c r="O163" s="61"/>
      <c r="P163" s="61"/>
      <c r="Q163" s="61"/>
      <c r="R163" s="61"/>
    </row>
    <row r="164" spans="1:18" ht="15" thickBot="1">
      <c r="A164">
        <v>53</v>
      </c>
      <c r="B164" s="4" t="s">
        <v>151</v>
      </c>
      <c r="C164" s="84" t="s">
        <v>32</v>
      </c>
      <c r="D164" s="128" t="s">
        <v>32</v>
      </c>
      <c r="E164" s="313"/>
      <c r="F164" s="61"/>
      <c r="H164" s="61">
        <v>112</v>
      </c>
      <c r="I164" s="61" t="s">
        <v>142</v>
      </c>
      <c r="J164" s="84" t="s">
        <v>209</v>
      </c>
      <c r="K164" s="128" t="s">
        <v>209</v>
      </c>
      <c r="L164" s="313"/>
      <c r="M164" s="138"/>
      <c r="N164" s="61"/>
      <c r="O164" s="61"/>
      <c r="P164" s="61"/>
      <c r="Q164" s="61"/>
      <c r="R164" s="61"/>
    </row>
    <row r="165" spans="1:18" ht="15" thickBot="1">
      <c r="A165">
        <v>54</v>
      </c>
      <c r="B165" s="4" t="s">
        <v>153</v>
      </c>
      <c r="C165" s="84" t="s">
        <v>32</v>
      </c>
      <c r="D165" s="128" t="s">
        <v>32</v>
      </c>
      <c r="E165" s="313"/>
      <c r="F165" s="61"/>
      <c r="H165" s="61">
        <v>113</v>
      </c>
      <c r="I165" s="118" t="s">
        <v>144</v>
      </c>
      <c r="J165" s="84">
        <v>4314</v>
      </c>
      <c r="K165" s="127">
        <v>5063.5</v>
      </c>
      <c r="L165" s="313">
        <f t="shared" si="6"/>
        <v>5331.8654999999999</v>
      </c>
      <c r="M165" s="138"/>
      <c r="N165" s="61"/>
      <c r="O165" s="61"/>
      <c r="P165" s="61"/>
      <c r="Q165" s="61"/>
      <c r="R165" s="61"/>
    </row>
    <row r="166" spans="1:18" ht="15" thickBot="1">
      <c r="A166">
        <v>55</v>
      </c>
      <c r="B166" s="4" t="s">
        <v>153</v>
      </c>
      <c r="C166" s="84" t="s">
        <v>32</v>
      </c>
      <c r="D166" s="128" t="s">
        <v>32</v>
      </c>
      <c r="E166" s="313"/>
      <c r="F166" s="61"/>
      <c r="H166" s="61">
        <v>114</v>
      </c>
      <c r="I166" s="129" t="s">
        <v>146</v>
      </c>
      <c r="J166" s="84">
        <v>7182</v>
      </c>
      <c r="K166" s="139">
        <v>8053.5</v>
      </c>
      <c r="L166" s="313">
        <f t="shared" si="6"/>
        <v>8480.3354999999992</v>
      </c>
      <c r="M166" s="138" t="s">
        <v>337</v>
      </c>
      <c r="N166" s="61"/>
      <c r="O166" s="61"/>
      <c r="P166" s="61"/>
      <c r="Q166" s="61"/>
      <c r="R166" s="61"/>
    </row>
    <row r="167" spans="1:18" ht="15" thickBot="1">
      <c r="A167">
        <v>56</v>
      </c>
      <c r="B167" s="4" t="s">
        <v>155</v>
      </c>
      <c r="C167" s="84">
        <v>4980</v>
      </c>
      <c r="D167" s="128" t="s">
        <v>32</v>
      </c>
      <c r="E167" s="313"/>
      <c r="F167" s="61"/>
      <c r="H167" s="61">
        <v>115</v>
      </c>
      <c r="I167" s="118" t="s">
        <v>338</v>
      </c>
      <c r="J167" s="84">
        <v>1920</v>
      </c>
      <c r="K167" s="127">
        <v>2275</v>
      </c>
      <c r="L167" s="313">
        <f t="shared" si="6"/>
        <v>2395.5749999999998</v>
      </c>
      <c r="M167" s="61"/>
      <c r="N167" s="61"/>
      <c r="O167" s="61"/>
      <c r="P167" s="61"/>
      <c r="Q167" s="61"/>
      <c r="R167" s="61"/>
    </row>
    <row r="168" spans="1:18" ht="15" thickBot="1">
      <c r="A168">
        <v>57</v>
      </c>
      <c r="B168" s="4" t="s">
        <v>339</v>
      </c>
      <c r="C168" s="84" t="s">
        <v>32</v>
      </c>
      <c r="D168" s="128" t="s">
        <v>32</v>
      </c>
      <c r="E168" s="313"/>
      <c r="F168" s="61"/>
      <c r="H168" s="61">
        <v>116</v>
      </c>
      <c r="I168" s="61" t="s">
        <v>150</v>
      </c>
      <c r="J168" s="84">
        <v>605</v>
      </c>
      <c r="K168" s="127">
        <v>800</v>
      </c>
      <c r="L168" s="313">
        <f t="shared" si="6"/>
        <v>842.4</v>
      </c>
      <c r="M168" s="61"/>
      <c r="N168" s="61"/>
      <c r="O168" s="61"/>
      <c r="P168" s="61"/>
      <c r="Q168" s="61"/>
      <c r="R168" s="61"/>
    </row>
    <row r="169" spans="1:18" ht="15" thickBot="1">
      <c r="A169">
        <v>58</v>
      </c>
      <c r="B169" s="4" t="s">
        <v>340</v>
      </c>
      <c r="C169" s="84" t="s">
        <v>32</v>
      </c>
      <c r="D169" s="128" t="s">
        <v>32</v>
      </c>
      <c r="E169" s="313"/>
      <c r="F169" s="61"/>
      <c r="H169" s="61">
        <v>117</v>
      </c>
      <c r="I169" s="61" t="s">
        <v>152</v>
      </c>
      <c r="J169" s="84">
        <v>605</v>
      </c>
      <c r="K169" s="127">
        <v>800</v>
      </c>
      <c r="L169" s="313">
        <f t="shared" si="6"/>
        <v>842.4</v>
      </c>
      <c r="M169" s="61"/>
      <c r="N169" s="61"/>
      <c r="O169" s="61"/>
      <c r="P169" s="61"/>
      <c r="Q169" s="61"/>
      <c r="R169" s="61"/>
    </row>
    <row r="170" spans="1:18" ht="15" thickBot="1">
      <c r="A170">
        <v>59</v>
      </c>
      <c r="B170" s="4" t="s">
        <v>341</v>
      </c>
      <c r="C170" s="84">
        <v>-10500</v>
      </c>
      <c r="D170" s="128">
        <v>-20000</v>
      </c>
      <c r="E170" s="313">
        <f t="shared" si="5"/>
        <v>-21060</v>
      </c>
      <c r="F170" s="61" t="s">
        <v>349</v>
      </c>
      <c r="H170" s="61">
        <v>118</v>
      </c>
      <c r="I170" s="61" t="s">
        <v>154</v>
      </c>
      <c r="J170" s="84">
        <v>880</v>
      </c>
      <c r="K170" s="127">
        <v>1150</v>
      </c>
      <c r="L170" s="313">
        <f t="shared" si="6"/>
        <v>1210.9499999999998</v>
      </c>
      <c r="M170" s="61"/>
      <c r="N170" s="61"/>
      <c r="O170" s="61"/>
      <c r="P170" s="61"/>
      <c r="Q170" s="61"/>
      <c r="R170" s="61"/>
    </row>
    <row r="171" spans="1:18" ht="15" thickBot="1">
      <c r="B171" s="4"/>
      <c r="C171" s="61"/>
      <c r="D171" s="61"/>
      <c r="E171" s="61"/>
      <c r="F171" s="61"/>
      <c r="H171" s="61">
        <v>119</v>
      </c>
      <c r="I171" s="61" t="s">
        <v>156</v>
      </c>
      <c r="J171" s="84">
        <v>605</v>
      </c>
      <c r="K171" s="127">
        <v>800</v>
      </c>
      <c r="L171" s="313">
        <f t="shared" si="6"/>
        <v>842.4</v>
      </c>
      <c r="M171" s="61"/>
      <c r="N171" s="61"/>
      <c r="O171" s="61"/>
      <c r="P171" s="61"/>
      <c r="Q171" s="61"/>
      <c r="R171" s="61"/>
    </row>
    <row r="172" spans="1:18" ht="15" thickBot="1">
      <c r="B172" s="4"/>
      <c r="C172" s="61"/>
      <c r="D172" s="61"/>
      <c r="E172" s="61"/>
      <c r="F172" s="61"/>
      <c r="H172" s="61">
        <v>120</v>
      </c>
      <c r="I172" s="61" t="s">
        <v>157</v>
      </c>
      <c r="J172" s="84">
        <v>880</v>
      </c>
      <c r="K172" s="127">
        <v>1150</v>
      </c>
      <c r="L172" s="313">
        <f t="shared" si="6"/>
        <v>1210.9499999999998</v>
      </c>
      <c r="M172" s="61"/>
      <c r="N172" s="61"/>
      <c r="O172" s="61"/>
      <c r="P172" s="61"/>
      <c r="Q172" s="61"/>
      <c r="R172" s="61"/>
    </row>
    <row r="173" spans="1:18" ht="15" thickBot="1">
      <c r="B173" s="4"/>
      <c r="C173" s="61"/>
      <c r="D173" s="61"/>
      <c r="E173" s="61"/>
      <c r="F173" s="61"/>
      <c r="H173" s="61">
        <v>121</v>
      </c>
      <c r="I173" s="61" t="s">
        <v>158</v>
      </c>
      <c r="J173" s="84">
        <v>1230</v>
      </c>
      <c r="K173" s="127">
        <v>1625</v>
      </c>
      <c r="L173" s="313">
        <f t="shared" si="6"/>
        <v>1711.125</v>
      </c>
      <c r="M173" s="61"/>
      <c r="N173" s="61"/>
      <c r="O173" s="61"/>
      <c r="P173" s="61"/>
      <c r="Q173" s="61"/>
      <c r="R173" s="61"/>
    </row>
    <row r="174" spans="1:18" ht="15" thickBot="1">
      <c r="B174" s="4"/>
      <c r="C174" s="61"/>
      <c r="D174" s="61"/>
      <c r="E174" s="61"/>
      <c r="F174" s="61"/>
      <c r="H174" s="61">
        <v>122</v>
      </c>
      <c r="I174" s="61" t="s">
        <v>160</v>
      </c>
      <c r="J174" s="84">
        <v>1770</v>
      </c>
      <c r="K174" s="127">
        <v>2268.5</v>
      </c>
      <c r="L174" s="313">
        <f t="shared" si="6"/>
        <v>2388.7304999999997</v>
      </c>
      <c r="M174" s="61"/>
      <c r="N174" s="61"/>
      <c r="O174" s="61"/>
      <c r="P174" s="61"/>
      <c r="Q174" s="61"/>
      <c r="R174" s="61"/>
    </row>
    <row r="175" spans="1:18" ht="15" thickBot="1">
      <c r="B175" s="4"/>
      <c r="C175" s="118"/>
      <c r="D175" s="118"/>
      <c r="E175" s="61"/>
      <c r="F175" s="61"/>
      <c r="H175" s="61">
        <v>123</v>
      </c>
      <c r="I175" s="61" t="s">
        <v>161</v>
      </c>
      <c r="J175" s="84">
        <v>1902</v>
      </c>
      <c r="K175" s="127">
        <v>2502.5</v>
      </c>
      <c r="L175" s="313">
        <f t="shared" si="6"/>
        <v>2635.1324999999997</v>
      </c>
      <c r="M175" s="61"/>
      <c r="N175" s="61"/>
      <c r="O175" s="61"/>
      <c r="P175" s="61"/>
      <c r="Q175" s="61"/>
      <c r="R175" s="61"/>
    </row>
    <row r="176" spans="1:18" ht="15" thickBot="1">
      <c r="B176" s="4"/>
      <c r="C176" s="118"/>
      <c r="D176" s="118"/>
      <c r="E176" s="61"/>
      <c r="F176" s="61"/>
      <c r="H176" s="61">
        <v>124</v>
      </c>
      <c r="I176" s="61" t="s">
        <v>162</v>
      </c>
      <c r="J176" s="84">
        <v>2070</v>
      </c>
      <c r="K176" s="127">
        <v>2242.5</v>
      </c>
      <c r="L176" s="313">
        <f t="shared" ref="L176:L181" si="8">+K176*1.053</f>
        <v>2361.3525</v>
      </c>
      <c r="M176" s="61"/>
      <c r="N176" s="61"/>
      <c r="O176" s="61"/>
      <c r="P176" s="61"/>
      <c r="Q176" s="61"/>
      <c r="R176" s="61"/>
    </row>
    <row r="177" spans="2:18" ht="15" thickBot="1">
      <c r="B177" s="4"/>
      <c r="C177" s="118"/>
      <c r="D177" s="118"/>
      <c r="E177" s="61"/>
      <c r="F177" s="61"/>
      <c r="H177" s="61">
        <v>125</v>
      </c>
      <c r="I177" s="61" t="s">
        <v>342</v>
      </c>
      <c r="J177" s="84">
        <v>10115</v>
      </c>
      <c r="K177" s="127">
        <v>-7300</v>
      </c>
      <c r="L177" s="313">
        <f t="shared" si="8"/>
        <v>-7686.9</v>
      </c>
      <c r="M177" s="138" t="s">
        <v>350</v>
      </c>
      <c r="N177" s="61"/>
      <c r="O177" s="61"/>
      <c r="P177" s="61"/>
      <c r="Q177" s="61"/>
      <c r="R177" s="61"/>
    </row>
    <row r="178" spans="2:18" ht="15" thickBot="1">
      <c r="B178" s="1"/>
      <c r="C178" s="61"/>
      <c r="D178" s="61"/>
      <c r="E178" s="61"/>
      <c r="F178" s="61"/>
      <c r="H178" s="61"/>
      <c r="I178" s="61"/>
      <c r="J178" s="61"/>
      <c r="K178" s="127">
        <v>162.5</v>
      </c>
      <c r="L178" s="313">
        <f t="shared" si="8"/>
        <v>171.11249999999998</v>
      </c>
      <c r="M178" s="61"/>
      <c r="N178" s="61"/>
      <c r="O178" s="61"/>
      <c r="P178" s="61"/>
      <c r="Q178" s="61"/>
      <c r="R178" s="61"/>
    </row>
    <row r="179" spans="2:18" ht="15" thickBot="1">
      <c r="C179" s="61"/>
      <c r="D179" s="61"/>
      <c r="E179" s="61"/>
      <c r="F179" s="61"/>
      <c r="H179" s="61"/>
      <c r="I179" s="61"/>
      <c r="J179" s="61"/>
      <c r="K179" s="127">
        <v>390</v>
      </c>
      <c r="L179" s="313">
        <f t="shared" si="8"/>
        <v>410.66999999999996</v>
      </c>
      <c r="M179" s="61"/>
      <c r="N179" s="61"/>
      <c r="O179" s="61"/>
      <c r="P179" s="61"/>
      <c r="Q179" s="61"/>
      <c r="R179" s="61"/>
    </row>
    <row r="180" spans="2:18" ht="15" thickBot="1">
      <c r="B180" s="1" t="s">
        <v>1</v>
      </c>
      <c r="C180" s="84" t="s">
        <v>318</v>
      </c>
      <c r="D180" s="61"/>
      <c r="E180" s="1" t="s">
        <v>745</v>
      </c>
      <c r="H180" s="61"/>
      <c r="I180" s="61"/>
      <c r="J180" s="61"/>
      <c r="K180" s="86" t="s">
        <v>209</v>
      </c>
      <c r="L180" s="313"/>
      <c r="M180" s="61"/>
      <c r="N180" s="61"/>
      <c r="O180" s="61"/>
      <c r="P180" s="61"/>
      <c r="Q180" s="61"/>
      <c r="R180" s="61"/>
    </row>
    <row r="181" spans="2:18" ht="15" thickBot="1">
      <c r="C181" s="61"/>
      <c r="D181" s="61"/>
      <c r="E181" s="1" t="s">
        <v>746</v>
      </c>
      <c r="H181" s="61"/>
      <c r="I181" s="61"/>
      <c r="J181" s="61"/>
      <c r="K181" s="85">
        <v>58.5</v>
      </c>
      <c r="L181" s="313">
        <f t="shared" si="8"/>
        <v>61.600499999999997</v>
      </c>
      <c r="M181" s="61"/>
      <c r="N181" s="61"/>
      <c r="O181" s="61"/>
      <c r="P181" s="61"/>
      <c r="Q181" s="61"/>
      <c r="R181" s="61"/>
    </row>
    <row r="182" spans="2:18" ht="15" thickBot="1">
      <c r="B182" s="1" t="s">
        <v>2</v>
      </c>
      <c r="C182" s="84" t="s">
        <v>678</v>
      </c>
      <c r="D182" s="61"/>
      <c r="E182" s="1" t="s">
        <v>747</v>
      </c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</row>
    <row r="183" spans="2:18"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</row>
    <row r="184" spans="2:18">
      <c r="B184" s="1" t="s">
        <v>320</v>
      </c>
      <c r="C184" s="61"/>
      <c r="D184" s="61"/>
      <c r="E184" s="61"/>
      <c r="F184" s="61"/>
      <c r="G184" s="61" t="s">
        <v>321</v>
      </c>
      <c r="H184" s="61"/>
      <c r="I184" s="61"/>
      <c r="J184" s="61"/>
      <c r="K184" s="61"/>
      <c r="L184" s="61"/>
      <c r="M184" s="61"/>
      <c r="N184" s="61"/>
      <c r="O184" s="61"/>
      <c r="P184" s="61"/>
      <c r="Q184" s="61"/>
    </row>
    <row r="185" spans="2:18" ht="15" thickBot="1">
      <c r="B185" s="18" t="s">
        <v>322</v>
      </c>
      <c r="C185" s="84" t="s">
        <v>204</v>
      </c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</row>
    <row r="186" spans="2:18" ht="15" thickBot="1">
      <c r="B186" s="18" t="s">
        <v>323</v>
      </c>
      <c r="C186" s="84" t="s">
        <v>204</v>
      </c>
      <c r="D186" s="61"/>
      <c r="E186" s="61"/>
      <c r="F186" s="61"/>
      <c r="G186" s="61" t="s">
        <v>320</v>
      </c>
      <c r="H186" s="61"/>
      <c r="I186" s="61"/>
      <c r="J186" s="61"/>
      <c r="K186" s="61"/>
      <c r="L186" s="61"/>
      <c r="M186" s="61"/>
      <c r="N186" s="61"/>
      <c r="O186" s="61"/>
      <c r="P186" s="61"/>
      <c r="Q186" s="61"/>
    </row>
    <row r="187" spans="2:18" ht="15" thickBot="1">
      <c r="C187" s="61"/>
      <c r="D187" s="61"/>
      <c r="E187" s="61"/>
      <c r="F187" s="61"/>
      <c r="G187" s="103" t="s">
        <v>322</v>
      </c>
      <c r="H187" s="84" t="s">
        <v>204</v>
      </c>
      <c r="I187" s="61"/>
      <c r="J187" s="61"/>
      <c r="K187" s="61"/>
      <c r="L187" s="61"/>
      <c r="M187" s="61"/>
      <c r="N187" s="61"/>
      <c r="O187" s="61"/>
      <c r="P187" s="61"/>
      <c r="Q187" s="61"/>
    </row>
    <row r="188" spans="2:18" ht="15" thickBot="1">
      <c r="B188" s="1" t="s">
        <v>324</v>
      </c>
      <c r="C188" s="61"/>
      <c r="D188" s="61"/>
      <c r="E188" s="61"/>
      <c r="F188" s="61"/>
      <c r="G188" s="103" t="s">
        <v>323</v>
      </c>
      <c r="H188" s="84" t="s">
        <v>204</v>
      </c>
      <c r="I188" s="61"/>
      <c r="J188" s="61"/>
      <c r="K188" s="61"/>
      <c r="L188" s="61"/>
      <c r="M188" s="61"/>
      <c r="N188" s="61"/>
      <c r="O188" s="61"/>
      <c r="P188" s="61"/>
      <c r="Q188" s="61"/>
    </row>
    <row r="189" spans="2:18" ht="15" thickBot="1">
      <c r="B189" s="18" t="s">
        <v>691</v>
      </c>
      <c r="C189" s="84">
        <v>137610</v>
      </c>
      <c r="D189" s="61"/>
      <c r="E189" s="64">
        <f>152332+6306</f>
        <v>158638</v>
      </c>
      <c r="F189" s="313">
        <f t="shared" ref="F189:F190" si="9">+E189*1.053</f>
        <v>167045.81399999998</v>
      </c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</row>
    <row r="190" spans="2:18" ht="15" thickBot="1">
      <c r="B190" s="18" t="s">
        <v>692</v>
      </c>
      <c r="C190" s="84">
        <v>138528</v>
      </c>
      <c r="D190" s="61"/>
      <c r="E190" s="64">
        <f>153274+6306</f>
        <v>159580</v>
      </c>
      <c r="F190" s="313">
        <f t="shared" si="9"/>
        <v>168037.74</v>
      </c>
      <c r="G190" s="61" t="s">
        <v>324</v>
      </c>
      <c r="H190" s="61"/>
      <c r="I190" s="61"/>
      <c r="J190" s="61"/>
      <c r="K190" s="61"/>
      <c r="L190" s="61"/>
      <c r="M190" s="61"/>
      <c r="N190" s="61"/>
      <c r="O190" s="61"/>
      <c r="P190" s="61"/>
      <c r="Q190" s="61"/>
    </row>
    <row r="191" spans="2:18" ht="15" thickBot="1">
      <c r="C191" s="61"/>
      <c r="D191" s="61"/>
      <c r="E191" s="61"/>
      <c r="F191" s="61"/>
      <c r="G191" s="103" t="s">
        <v>693</v>
      </c>
      <c r="H191" s="84">
        <v>165680</v>
      </c>
      <c r="I191" s="64">
        <f>187122+6306</f>
        <v>193428</v>
      </c>
      <c r="J191" s="64"/>
      <c r="K191" s="61"/>
      <c r="L191" s="61"/>
      <c r="M191" s="61"/>
      <c r="N191" s="61"/>
      <c r="O191" s="61"/>
      <c r="P191" s="61"/>
      <c r="Q191" s="61"/>
    </row>
    <row r="192" spans="2:18" ht="15" thickBot="1">
      <c r="B192" s="1" t="s">
        <v>327</v>
      </c>
      <c r="C192" s="61"/>
      <c r="D192" s="61"/>
      <c r="E192" s="61"/>
      <c r="F192" s="61"/>
      <c r="G192" s="103" t="s">
        <v>326</v>
      </c>
      <c r="H192" s="84" t="s">
        <v>204</v>
      </c>
      <c r="I192" s="61"/>
      <c r="J192" s="61"/>
      <c r="K192" s="61"/>
      <c r="L192" s="61"/>
      <c r="M192" s="61"/>
      <c r="N192" s="61"/>
      <c r="O192" s="61"/>
      <c r="P192" s="61"/>
      <c r="Q192" s="61"/>
    </row>
    <row r="193" spans="1:19" ht="15" thickBot="1">
      <c r="B193" s="18" t="s">
        <v>328</v>
      </c>
      <c r="C193" s="84" t="s">
        <v>204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</row>
    <row r="194" spans="1:19" ht="15" thickBot="1">
      <c r="B194" s="18" t="s">
        <v>329</v>
      </c>
      <c r="C194" s="84" t="s">
        <v>204</v>
      </c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</row>
    <row r="195" spans="1:19">
      <c r="B195" s="18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</row>
    <row r="196" spans="1:19">
      <c r="C196" s="61"/>
      <c r="D196" s="61"/>
      <c r="E196" s="134"/>
      <c r="F196" s="134"/>
      <c r="G196" s="61"/>
      <c r="H196" s="61"/>
      <c r="I196" s="61"/>
      <c r="J196" s="61"/>
      <c r="K196" s="61"/>
      <c r="L196" s="134"/>
      <c r="M196" s="61"/>
      <c r="N196" s="61"/>
      <c r="O196" s="61"/>
      <c r="P196" s="61"/>
      <c r="Q196" s="61"/>
    </row>
    <row r="197" spans="1:19"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</row>
    <row r="198" spans="1:19" ht="15" thickBot="1">
      <c r="A198">
        <v>1</v>
      </c>
      <c r="B198" s="4" t="s">
        <v>23</v>
      </c>
      <c r="C198" s="84">
        <v>1365</v>
      </c>
      <c r="D198" s="86">
        <v>1735.5</v>
      </c>
      <c r="E198" s="313">
        <f t="shared" ref="E198:E256" si="10">+D198*1.053</f>
        <v>1827.4814999999999</v>
      </c>
      <c r="F198" s="61"/>
      <c r="G198" s="61">
        <v>60</v>
      </c>
      <c r="H198" s="118" t="s">
        <v>24</v>
      </c>
      <c r="I198" s="84">
        <v>9855</v>
      </c>
      <c r="J198" s="86">
        <v>13123.5</v>
      </c>
      <c r="K198" s="313">
        <f t="shared" ref="K198:K261" si="11">+J198*1.053</f>
        <v>13819.045499999998</v>
      </c>
      <c r="L198" s="61"/>
      <c r="M198" s="61">
        <v>130</v>
      </c>
      <c r="N198" s="61" t="s">
        <v>277</v>
      </c>
      <c r="O198" s="84">
        <v>8085</v>
      </c>
      <c r="P198" s="85">
        <v>2600</v>
      </c>
      <c r="Q198" s="313">
        <f t="shared" ref="Q198:Q204" si="12">+P198*1.053</f>
        <v>2737.7999999999997</v>
      </c>
      <c r="R198" s="61"/>
    </row>
    <row r="199" spans="1:19" ht="15" thickBot="1">
      <c r="A199">
        <v>2</v>
      </c>
      <c r="B199" s="4" t="s">
        <v>26</v>
      </c>
      <c r="C199" s="84">
        <v>1045</v>
      </c>
      <c r="D199" s="86">
        <v>1365</v>
      </c>
      <c r="E199" s="313">
        <f t="shared" si="10"/>
        <v>1437.3449999999998</v>
      </c>
      <c r="F199" s="61"/>
      <c r="G199" s="61">
        <v>61</v>
      </c>
      <c r="H199" s="118" t="s">
        <v>30</v>
      </c>
      <c r="I199" s="84">
        <v>1280</v>
      </c>
      <c r="J199" s="86" t="s">
        <v>32</v>
      </c>
      <c r="K199" s="313"/>
      <c r="L199" s="138" t="s">
        <v>347</v>
      </c>
      <c r="M199" s="61">
        <v>131</v>
      </c>
      <c r="N199" s="61" t="s">
        <v>280</v>
      </c>
      <c r="O199" s="84" t="s">
        <v>32</v>
      </c>
      <c r="P199" s="86" t="s">
        <v>32</v>
      </c>
      <c r="Q199" s="313"/>
      <c r="R199" s="61"/>
    </row>
    <row r="200" spans="1:19" ht="15" thickBot="1">
      <c r="A200">
        <v>3</v>
      </c>
      <c r="B200" s="4" t="s">
        <v>29</v>
      </c>
      <c r="C200" s="84">
        <v>690</v>
      </c>
      <c r="D200" s="86">
        <v>962</v>
      </c>
      <c r="E200" s="313">
        <f t="shared" si="10"/>
        <v>1012.986</v>
      </c>
      <c r="F200" s="61"/>
      <c r="G200" s="61">
        <v>62</v>
      </c>
      <c r="H200" s="118" t="s">
        <v>35</v>
      </c>
      <c r="I200" s="84">
        <v>2810</v>
      </c>
      <c r="J200" s="86" t="s">
        <v>32</v>
      </c>
      <c r="K200" s="313"/>
      <c r="L200" s="138" t="s">
        <v>347</v>
      </c>
      <c r="M200" s="61">
        <v>132</v>
      </c>
      <c r="N200" s="61" t="s">
        <v>330</v>
      </c>
      <c r="O200" s="84">
        <v>2915</v>
      </c>
      <c r="P200" s="85">
        <v>3445</v>
      </c>
      <c r="Q200" s="313">
        <f t="shared" si="12"/>
        <v>3627.5849999999996</v>
      </c>
      <c r="R200" s="61"/>
    </row>
    <row r="201" spans="1:19" ht="15" thickBot="1">
      <c r="A201">
        <v>4</v>
      </c>
      <c r="B201" s="4" t="s">
        <v>34</v>
      </c>
      <c r="C201" s="84">
        <v>735</v>
      </c>
      <c r="D201" s="86">
        <v>819</v>
      </c>
      <c r="E201" s="313">
        <f t="shared" si="10"/>
        <v>862.40699999999993</v>
      </c>
      <c r="F201" s="61"/>
      <c r="G201" s="61">
        <v>63</v>
      </c>
      <c r="H201" s="118" t="s">
        <v>42</v>
      </c>
      <c r="I201" s="84">
        <v>1065</v>
      </c>
      <c r="J201" s="100">
        <v>1384.5</v>
      </c>
      <c r="K201" s="313">
        <f t="shared" si="11"/>
        <v>1457.8784999999998</v>
      </c>
      <c r="L201" s="61"/>
      <c r="M201" s="61">
        <v>133</v>
      </c>
      <c r="N201" s="118" t="s">
        <v>31</v>
      </c>
      <c r="O201" s="84">
        <v>1130</v>
      </c>
      <c r="P201" s="85">
        <v>1456</v>
      </c>
      <c r="Q201" s="313">
        <f t="shared" si="12"/>
        <v>1533.1679999999999</v>
      </c>
      <c r="R201" s="125" t="s">
        <v>33</v>
      </c>
      <c r="S201" s="61"/>
    </row>
    <row r="202" spans="1:19" ht="15" thickBot="1">
      <c r="A202">
        <v>5</v>
      </c>
      <c r="B202" s="4" t="s">
        <v>37</v>
      </c>
      <c r="C202" s="84">
        <v>1170</v>
      </c>
      <c r="D202" s="86">
        <v>1287</v>
      </c>
      <c r="E202" s="313">
        <f t="shared" si="10"/>
        <v>1355.211</v>
      </c>
      <c r="F202" s="61"/>
      <c r="G202" s="61">
        <v>64</v>
      </c>
      <c r="H202" s="118" t="s">
        <v>44</v>
      </c>
      <c r="I202" s="84">
        <v>1500</v>
      </c>
      <c r="J202" s="128">
        <v>1950</v>
      </c>
      <c r="K202" s="313">
        <f t="shared" si="11"/>
        <v>2053.35</v>
      </c>
      <c r="L202" s="61"/>
      <c r="M202" s="61">
        <v>134</v>
      </c>
      <c r="N202" s="135" t="s">
        <v>36</v>
      </c>
      <c r="O202" s="84">
        <v>365</v>
      </c>
      <c r="P202" s="127">
        <v>474.5</v>
      </c>
      <c r="Q202" s="313">
        <f t="shared" si="12"/>
        <v>499.64849999999996</v>
      </c>
      <c r="R202" s="125" t="s">
        <v>33</v>
      </c>
      <c r="S202" s="61"/>
    </row>
    <row r="203" spans="1:19" ht="15" thickBot="1">
      <c r="A203">
        <v>6</v>
      </c>
      <c r="B203" s="4" t="s">
        <v>39</v>
      </c>
      <c r="C203" s="84">
        <v>1830</v>
      </c>
      <c r="D203" s="86">
        <v>2008.5</v>
      </c>
      <c r="E203" s="313">
        <f t="shared" si="10"/>
        <v>2114.9504999999999</v>
      </c>
      <c r="F203" s="61"/>
      <c r="G203" s="61">
        <v>65</v>
      </c>
      <c r="H203" s="118" t="s">
        <v>46</v>
      </c>
      <c r="I203" s="84">
        <v>490</v>
      </c>
      <c r="J203" s="128">
        <v>637</v>
      </c>
      <c r="K203" s="313">
        <f t="shared" si="11"/>
        <v>670.76099999999997</v>
      </c>
      <c r="L203" s="61"/>
      <c r="M203" s="61">
        <v>135</v>
      </c>
      <c r="N203" s="118" t="s">
        <v>717</v>
      </c>
      <c r="O203" s="84">
        <v>1650</v>
      </c>
      <c r="P203" s="131">
        <v>1300</v>
      </c>
      <c r="Q203" s="313">
        <f t="shared" si="12"/>
        <v>1368.8999999999999</v>
      </c>
      <c r="R203" s="61"/>
    </row>
    <row r="204" spans="1:19" ht="15" thickBot="1">
      <c r="A204">
        <v>7</v>
      </c>
      <c r="B204" s="4" t="s">
        <v>41</v>
      </c>
      <c r="C204" s="84">
        <v>1330</v>
      </c>
      <c r="D204" s="86">
        <v>1592.5</v>
      </c>
      <c r="E204" s="313">
        <f t="shared" si="10"/>
        <v>1676.9024999999999</v>
      </c>
      <c r="F204" s="61"/>
      <c r="G204" s="61">
        <v>66</v>
      </c>
      <c r="H204" s="118" t="s">
        <v>48</v>
      </c>
      <c r="I204" s="84">
        <v>1500</v>
      </c>
      <c r="J204" s="128">
        <v>1950</v>
      </c>
      <c r="K204" s="313">
        <f t="shared" si="11"/>
        <v>2053.35</v>
      </c>
      <c r="L204" s="61"/>
      <c r="M204" s="61">
        <v>136</v>
      </c>
      <c r="N204" s="118" t="s">
        <v>718</v>
      </c>
      <c r="O204" s="61"/>
      <c r="P204" s="127">
        <v>4875</v>
      </c>
      <c r="Q204" s="313">
        <f t="shared" si="12"/>
        <v>5133.375</v>
      </c>
      <c r="R204" s="61"/>
    </row>
    <row r="205" spans="1:19" ht="15" thickBot="1">
      <c r="A205">
        <v>8</v>
      </c>
      <c r="B205" s="4" t="s">
        <v>43</v>
      </c>
      <c r="C205" s="84">
        <v>1545</v>
      </c>
      <c r="D205" s="86">
        <v>2054</v>
      </c>
      <c r="E205" s="313">
        <f t="shared" si="10"/>
        <v>2162.8620000000001</v>
      </c>
      <c r="F205" s="61" t="s">
        <v>348</v>
      </c>
      <c r="G205" s="61">
        <v>67</v>
      </c>
      <c r="H205" s="118" t="s">
        <v>50</v>
      </c>
      <c r="I205" s="84">
        <v>475</v>
      </c>
      <c r="J205" s="128">
        <v>617.5</v>
      </c>
      <c r="K205" s="313">
        <f t="shared" si="11"/>
        <v>650.22749999999996</v>
      </c>
      <c r="L205" s="61"/>
      <c r="M205" s="61"/>
      <c r="N205" s="61"/>
      <c r="O205" s="61"/>
      <c r="P205" s="61"/>
      <c r="Q205" s="61"/>
      <c r="R205" s="61"/>
    </row>
    <row r="206" spans="1:19" ht="15" thickBot="1">
      <c r="A206">
        <v>9</v>
      </c>
      <c r="B206" s="4" t="s">
        <v>45</v>
      </c>
      <c r="C206" s="84">
        <v>-120</v>
      </c>
      <c r="D206" s="86">
        <v>-120</v>
      </c>
      <c r="E206" s="313">
        <f t="shared" si="10"/>
        <v>-126.35999999999999</v>
      </c>
      <c r="F206" s="61"/>
      <c r="G206" s="61">
        <v>68</v>
      </c>
      <c r="H206" s="118" t="s">
        <v>52</v>
      </c>
      <c r="I206" s="84">
        <v>825</v>
      </c>
      <c r="J206" s="86">
        <v>1072.5</v>
      </c>
      <c r="K206" s="313">
        <f t="shared" si="11"/>
        <v>1129.3425</v>
      </c>
      <c r="L206" s="61"/>
      <c r="M206" s="61"/>
      <c r="N206" s="61"/>
      <c r="O206" s="61"/>
      <c r="P206" s="61"/>
      <c r="Q206" s="61"/>
    </row>
    <row r="207" spans="1:19" ht="15" thickBot="1">
      <c r="A207">
        <v>10</v>
      </c>
      <c r="B207" s="4" t="s">
        <v>47</v>
      </c>
      <c r="C207" s="84">
        <v>1050</v>
      </c>
      <c r="D207" s="100">
        <v>2008.5</v>
      </c>
      <c r="E207" s="313">
        <f t="shared" si="10"/>
        <v>2114.9504999999999</v>
      </c>
      <c r="F207" s="61"/>
      <c r="G207" s="61">
        <v>69</v>
      </c>
      <c r="H207" s="118" t="s">
        <v>54</v>
      </c>
      <c r="I207" s="84" t="s">
        <v>57</v>
      </c>
      <c r="J207" s="86" t="s">
        <v>208</v>
      </c>
      <c r="K207" s="313"/>
      <c r="L207" s="61"/>
      <c r="M207" s="61"/>
      <c r="N207" s="61"/>
      <c r="O207" s="61"/>
      <c r="P207" s="61"/>
      <c r="Q207" s="61"/>
    </row>
    <row r="208" spans="1:19" ht="15" thickBot="1">
      <c r="A208">
        <v>11</v>
      </c>
      <c r="B208" t="s">
        <v>211</v>
      </c>
      <c r="C208" s="84">
        <v>985</v>
      </c>
      <c r="D208" s="128">
        <v>1917.5</v>
      </c>
      <c r="E208" s="313">
        <f t="shared" si="10"/>
        <v>2019.1274999999998</v>
      </c>
      <c r="F208" s="61"/>
      <c r="G208" s="61">
        <v>70</v>
      </c>
      <c r="H208" s="118" t="s">
        <v>56</v>
      </c>
      <c r="I208" s="84" t="s">
        <v>57</v>
      </c>
      <c r="J208" s="86" t="s">
        <v>208</v>
      </c>
      <c r="K208" s="313"/>
      <c r="L208" s="61"/>
      <c r="M208" s="61"/>
      <c r="N208" s="61"/>
      <c r="O208" s="61"/>
      <c r="P208" s="61"/>
      <c r="Q208" s="61"/>
    </row>
    <row r="209" spans="1:17" ht="15" thickBot="1">
      <c r="A209">
        <v>12</v>
      </c>
      <c r="B209" s="4" t="s">
        <v>51</v>
      </c>
      <c r="C209" s="84">
        <v>335</v>
      </c>
      <c r="D209" s="128">
        <v>2145</v>
      </c>
      <c r="E209" s="313">
        <f t="shared" si="10"/>
        <v>2258.6849999999999</v>
      </c>
      <c r="F209" s="61"/>
      <c r="G209" s="61">
        <v>71</v>
      </c>
      <c r="H209" s="118" t="s">
        <v>59</v>
      </c>
      <c r="I209" s="84">
        <v>402</v>
      </c>
      <c r="J209" s="128">
        <v>474.5</v>
      </c>
      <c r="K209" s="313">
        <f t="shared" si="11"/>
        <v>499.64849999999996</v>
      </c>
      <c r="L209" s="61"/>
      <c r="M209" s="61"/>
      <c r="N209" s="61"/>
      <c r="O209" s="61"/>
      <c r="P209" s="61"/>
      <c r="Q209" s="61"/>
    </row>
    <row r="210" spans="1:17" ht="15" thickBot="1">
      <c r="A210">
        <v>13</v>
      </c>
      <c r="B210" s="4" t="s">
        <v>332</v>
      </c>
      <c r="C210" s="84" t="s">
        <v>208</v>
      </c>
      <c r="D210" s="100" t="s">
        <v>208</v>
      </c>
      <c r="E210" s="313"/>
      <c r="F210" s="61"/>
      <c r="G210" s="61">
        <v>72</v>
      </c>
      <c r="H210" s="118" t="s">
        <v>61</v>
      </c>
      <c r="I210" s="84">
        <v>2500</v>
      </c>
      <c r="J210" s="128">
        <v>3035.5</v>
      </c>
      <c r="K210" s="313">
        <f t="shared" si="11"/>
        <v>3196.3815</v>
      </c>
      <c r="L210" s="61"/>
      <c r="M210" s="61"/>
      <c r="N210" s="61"/>
      <c r="O210" s="61"/>
      <c r="P210" s="61"/>
      <c r="Q210" s="61"/>
    </row>
    <row r="211" spans="1:17" ht="15" thickBot="1">
      <c r="A211">
        <v>14</v>
      </c>
      <c r="B211" s="4" t="s">
        <v>55</v>
      </c>
      <c r="C211" s="84">
        <v>755</v>
      </c>
      <c r="D211" s="128">
        <v>747.5</v>
      </c>
      <c r="E211" s="313">
        <f t="shared" si="10"/>
        <v>787.11749999999995</v>
      </c>
      <c r="F211" s="61"/>
      <c r="G211" s="61">
        <v>73</v>
      </c>
      <c r="H211" s="118" t="s">
        <v>63</v>
      </c>
      <c r="I211" s="84">
        <v>3100</v>
      </c>
      <c r="J211" s="128">
        <v>3438.5</v>
      </c>
      <c r="K211" s="313">
        <f t="shared" si="11"/>
        <v>3620.7404999999999</v>
      </c>
      <c r="L211" s="61"/>
      <c r="M211" s="61"/>
      <c r="N211" s="61"/>
      <c r="O211" s="61"/>
      <c r="P211" s="61"/>
      <c r="Q211" s="61"/>
    </row>
    <row r="212" spans="1:17" ht="15" thickBot="1">
      <c r="A212">
        <v>15</v>
      </c>
      <c r="B212" s="4" t="s">
        <v>334</v>
      </c>
      <c r="C212" s="84">
        <v>-300</v>
      </c>
      <c r="D212" s="100" t="s">
        <v>32</v>
      </c>
      <c r="E212" s="313"/>
      <c r="F212" s="61"/>
      <c r="G212" s="61">
        <v>74</v>
      </c>
      <c r="H212" s="118" t="s">
        <v>65</v>
      </c>
      <c r="I212" s="84" t="s">
        <v>57</v>
      </c>
      <c r="J212" s="128" t="s">
        <v>208</v>
      </c>
      <c r="K212" s="313"/>
      <c r="L212" s="61"/>
      <c r="M212" s="61"/>
      <c r="N212" s="61"/>
      <c r="O212" s="61"/>
      <c r="P212" s="61"/>
      <c r="Q212" s="61"/>
    </row>
    <row r="213" spans="1:17" ht="15" thickBot="1">
      <c r="A213">
        <v>16</v>
      </c>
      <c r="B213" s="4" t="s">
        <v>60</v>
      </c>
      <c r="C213" s="84">
        <v>60</v>
      </c>
      <c r="D213" s="86">
        <v>97.5</v>
      </c>
      <c r="E213" s="313">
        <f t="shared" si="10"/>
        <v>102.66749999999999</v>
      </c>
      <c r="F213" s="61"/>
      <c r="G213" s="61">
        <v>75</v>
      </c>
      <c r="H213" s="118" t="s">
        <v>67</v>
      </c>
      <c r="I213" s="84">
        <v>259</v>
      </c>
      <c r="J213" s="128">
        <v>336.7</v>
      </c>
      <c r="K213" s="313">
        <f t="shared" si="11"/>
        <v>354.54509999999999</v>
      </c>
      <c r="L213" s="61"/>
      <c r="M213" s="61"/>
      <c r="N213" s="61"/>
      <c r="O213" s="61"/>
      <c r="P213" s="61"/>
      <c r="Q213" s="61"/>
    </row>
    <row r="214" spans="1:17" ht="15" thickBot="1">
      <c r="A214">
        <v>17</v>
      </c>
      <c r="B214" t="s">
        <v>62</v>
      </c>
      <c r="C214" s="84">
        <v>60</v>
      </c>
      <c r="D214" s="86">
        <v>97.5</v>
      </c>
      <c r="E214" s="313">
        <f t="shared" si="10"/>
        <v>102.66749999999999</v>
      </c>
      <c r="F214" s="61"/>
      <c r="G214" s="61">
        <v>76</v>
      </c>
      <c r="H214" s="118" t="s">
        <v>69</v>
      </c>
      <c r="I214" s="84" t="s">
        <v>32</v>
      </c>
      <c r="J214" s="128" t="s">
        <v>32</v>
      </c>
      <c r="K214" s="313"/>
      <c r="L214" s="61"/>
      <c r="M214" s="61"/>
      <c r="N214" s="61"/>
      <c r="O214" s="61"/>
      <c r="P214" s="61"/>
      <c r="Q214" s="61"/>
    </row>
    <row r="215" spans="1:17" ht="15" thickBot="1">
      <c r="A215">
        <v>18</v>
      </c>
      <c r="B215" t="s">
        <v>64</v>
      </c>
      <c r="C215" s="84">
        <v>90</v>
      </c>
      <c r="D215" s="86">
        <v>175.5</v>
      </c>
      <c r="E215" s="313">
        <f t="shared" si="10"/>
        <v>184.80149999999998</v>
      </c>
      <c r="F215" s="61"/>
      <c r="G215" s="61">
        <v>77</v>
      </c>
      <c r="H215" s="118" t="s">
        <v>71</v>
      </c>
      <c r="I215" s="84">
        <v>490</v>
      </c>
      <c r="J215" s="128">
        <v>299</v>
      </c>
      <c r="K215" s="313">
        <f t="shared" si="11"/>
        <v>314.84699999999998</v>
      </c>
      <c r="L215" s="61" t="s">
        <v>719</v>
      </c>
      <c r="M215" s="61"/>
      <c r="N215" s="61"/>
      <c r="O215" s="61"/>
      <c r="P215" s="61"/>
      <c r="Q215" s="61"/>
    </row>
    <row r="216" spans="1:17" ht="15" thickBot="1">
      <c r="A216">
        <v>19</v>
      </c>
      <c r="B216" t="s">
        <v>66</v>
      </c>
      <c r="C216" s="84">
        <v>70</v>
      </c>
      <c r="D216" s="86">
        <v>97.5</v>
      </c>
      <c r="E216" s="313">
        <f t="shared" si="10"/>
        <v>102.66749999999999</v>
      </c>
      <c r="F216" s="61"/>
      <c r="G216" s="61">
        <v>78</v>
      </c>
      <c r="H216" s="118" t="s">
        <v>73</v>
      </c>
      <c r="I216" s="84" t="s">
        <v>32</v>
      </c>
      <c r="J216" s="128" t="s">
        <v>209</v>
      </c>
      <c r="K216" s="313"/>
      <c r="L216" s="61"/>
      <c r="M216" s="61"/>
      <c r="N216" s="61"/>
      <c r="O216" s="61"/>
      <c r="P216" s="61"/>
      <c r="Q216" s="61"/>
    </row>
    <row r="217" spans="1:17" ht="15" thickBot="1">
      <c r="A217">
        <v>20</v>
      </c>
      <c r="B217" t="s">
        <v>68</v>
      </c>
      <c r="C217" s="84">
        <v>75</v>
      </c>
      <c r="D217" s="86">
        <v>188.5</v>
      </c>
      <c r="E217" s="313">
        <f t="shared" si="10"/>
        <v>198.4905</v>
      </c>
      <c r="F217" s="61" t="s">
        <v>618</v>
      </c>
      <c r="G217" s="61">
        <v>79</v>
      </c>
      <c r="H217" s="118" t="s">
        <v>75</v>
      </c>
      <c r="I217" s="84" t="s">
        <v>57</v>
      </c>
      <c r="J217" s="128" t="s">
        <v>208</v>
      </c>
      <c r="K217" s="313"/>
      <c r="L217" s="61"/>
      <c r="M217" s="61"/>
      <c r="N217" s="61"/>
      <c r="O217" s="61"/>
      <c r="P217" s="61"/>
      <c r="Q217" s="61"/>
    </row>
    <row r="218" spans="1:17" ht="15" thickBot="1">
      <c r="A218">
        <v>21</v>
      </c>
      <c r="B218" t="s">
        <v>70</v>
      </c>
      <c r="C218" s="84">
        <v>80</v>
      </c>
      <c r="D218" s="86">
        <v>136.5</v>
      </c>
      <c r="E218" s="313">
        <f t="shared" si="10"/>
        <v>143.7345</v>
      </c>
      <c r="F218" s="61"/>
      <c r="G218" s="61">
        <v>80</v>
      </c>
      <c r="H218" s="118" t="s">
        <v>78</v>
      </c>
      <c r="I218" s="84">
        <v>1200</v>
      </c>
      <c r="J218" s="128">
        <v>1033.5</v>
      </c>
      <c r="K218" s="313">
        <f t="shared" si="11"/>
        <v>1088.2755</v>
      </c>
      <c r="L218" s="61"/>
      <c r="M218" s="61"/>
      <c r="N218" s="61"/>
      <c r="O218" s="61"/>
      <c r="P218" s="61"/>
      <c r="Q218" s="61"/>
    </row>
    <row r="219" spans="1:17" ht="15" thickBot="1">
      <c r="A219">
        <v>22</v>
      </c>
      <c r="B219" t="s">
        <v>72</v>
      </c>
      <c r="C219" s="84">
        <v>50</v>
      </c>
      <c r="D219" s="86">
        <v>65</v>
      </c>
      <c r="E219" s="313">
        <f t="shared" si="10"/>
        <v>68.444999999999993</v>
      </c>
      <c r="F219" s="61"/>
      <c r="G219" s="61">
        <v>81</v>
      </c>
      <c r="H219" s="118" t="s">
        <v>80</v>
      </c>
      <c r="I219" s="84" t="s">
        <v>57</v>
      </c>
      <c r="J219" s="128" t="s">
        <v>208</v>
      </c>
      <c r="K219" s="313"/>
      <c r="L219" s="61"/>
      <c r="M219" s="61"/>
      <c r="N219" s="61"/>
      <c r="O219" s="61"/>
      <c r="P219" s="61"/>
      <c r="Q219" s="61"/>
    </row>
    <row r="220" spans="1:17" ht="15" thickBot="1">
      <c r="A220">
        <v>23</v>
      </c>
      <c r="B220" t="s">
        <v>74</v>
      </c>
      <c r="C220" s="84">
        <v>100</v>
      </c>
      <c r="D220" s="86">
        <v>130</v>
      </c>
      <c r="E220" s="313">
        <f t="shared" si="10"/>
        <v>136.88999999999999</v>
      </c>
      <c r="F220" s="61"/>
      <c r="G220" s="61">
        <v>82</v>
      </c>
      <c r="H220" s="118" t="s">
        <v>82</v>
      </c>
      <c r="I220" s="84">
        <v>225</v>
      </c>
      <c r="J220" s="128">
        <v>130</v>
      </c>
      <c r="K220" s="313">
        <f t="shared" si="11"/>
        <v>136.88999999999999</v>
      </c>
      <c r="L220" s="61"/>
      <c r="M220" s="61"/>
      <c r="N220" s="61"/>
      <c r="O220" s="61"/>
      <c r="P220" s="61"/>
      <c r="Q220" s="61"/>
    </row>
    <row r="221" spans="1:17" ht="15" thickBot="1">
      <c r="A221">
        <v>24</v>
      </c>
      <c r="B221" t="s">
        <v>76</v>
      </c>
      <c r="C221" s="84">
        <v>1600</v>
      </c>
      <c r="D221" s="86" t="s">
        <v>209</v>
      </c>
      <c r="E221" s="313"/>
      <c r="F221" s="61"/>
      <c r="G221" s="61">
        <v>83</v>
      </c>
      <c r="H221" s="118" t="s">
        <v>84</v>
      </c>
      <c r="I221" s="84" t="s">
        <v>57</v>
      </c>
      <c r="J221" s="128" t="s">
        <v>208</v>
      </c>
      <c r="K221" s="313"/>
      <c r="L221" s="61"/>
      <c r="M221" s="61"/>
      <c r="N221" s="61"/>
      <c r="O221" s="61"/>
      <c r="P221" s="61"/>
      <c r="Q221" s="61"/>
    </row>
    <row r="222" spans="1:17" ht="15" thickBot="1">
      <c r="A222">
        <v>25</v>
      </c>
      <c r="B222" s="4" t="s">
        <v>83</v>
      </c>
      <c r="C222" s="84">
        <v>175</v>
      </c>
      <c r="D222" s="128">
        <v>325</v>
      </c>
      <c r="E222" s="313">
        <f t="shared" si="10"/>
        <v>342.22499999999997</v>
      </c>
      <c r="F222" s="61" t="s">
        <v>216</v>
      </c>
      <c r="G222" s="61">
        <v>84</v>
      </c>
      <c r="H222" s="118" t="s">
        <v>86</v>
      </c>
      <c r="I222" s="84" t="s">
        <v>209</v>
      </c>
      <c r="J222" s="128" t="s">
        <v>32</v>
      </c>
      <c r="K222" s="313"/>
      <c r="L222" s="61"/>
      <c r="M222" s="61"/>
      <c r="N222" s="61"/>
      <c r="O222" s="61"/>
      <c r="P222" s="61"/>
      <c r="Q222" s="61"/>
    </row>
    <row r="223" spans="1:17" ht="15" thickBot="1">
      <c r="A223">
        <v>26</v>
      </c>
      <c r="B223" s="4" t="s">
        <v>85</v>
      </c>
      <c r="C223" s="84">
        <v>975</v>
      </c>
      <c r="D223" s="128">
        <v>845</v>
      </c>
      <c r="E223" s="313">
        <f t="shared" si="10"/>
        <v>889.78499999999997</v>
      </c>
      <c r="F223" s="61"/>
      <c r="G223" s="61">
        <v>85</v>
      </c>
      <c r="H223" s="118" t="s">
        <v>88</v>
      </c>
      <c r="I223" s="84" t="s">
        <v>209</v>
      </c>
      <c r="J223" s="128" t="s">
        <v>32</v>
      </c>
      <c r="K223" s="313"/>
      <c r="L223" s="61"/>
      <c r="M223" s="61"/>
      <c r="N223" s="61"/>
      <c r="O223" s="61"/>
      <c r="P223" s="61"/>
      <c r="Q223" s="61"/>
    </row>
    <row r="224" spans="1:17" ht="15" thickBot="1">
      <c r="A224">
        <v>27</v>
      </c>
      <c r="B224" s="4" t="s">
        <v>87</v>
      </c>
      <c r="C224" s="84">
        <v>975</v>
      </c>
      <c r="D224" s="128">
        <v>858</v>
      </c>
      <c r="E224" s="313">
        <f t="shared" si="10"/>
        <v>903.47399999999993</v>
      </c>
      <c r="F224" s="61"/>
      <c r="G224" s="61">
        <v>86</v>
      </c>
      <c r="H224" s="61" t="s">
        <v>90</v>
      </c>
      <c r="I224" s="84">
        <v>825</v>
      </c>
      <c r="J224" s="128" t="s">
        <v>209</v>
      </c>
      <c r="K224" s="313"/>
      <c r="L224" s="61"/>
      <c r="M224" s="61"/>
      <c r="N224" s="61"/>
      <c r="O224" s="61"/>
      <c r="P224" s="61"/>
      <c r="Q224" s="61"/>
    </row>
    <row r="225" spans="1:17" ht="15" thickBot="1">
      <c r="A225">
        <v>28</v>
      </c>
      <c r="B225" s="4" t="s">
        <v>89</v>
      </c>
      <c r="C225" s="84">
        <v>1295</v>
      </c>
      <c r="D225" s="128">
        <v>1163.5</v>
      </c>
      <c r="E225" s="313">
        <f t="shared" si="10"/>
        <v>1225.1654999999998</v>
      </c>
      <c r="F225" s="61"/>
      <c r="G225" s="61">
        <v>87</v>
      </c>
      <c r="H225" s="61" t="s">
        <v>94</v>
      </c>
      <c r="I225" s="84">
        <v>375</v>
      </c>
      <c r="J225" s="128">
        <v>487.5</v>
      </c>
      <c r="K225" s="313">
        <f t="shared" si="11"/>
        <v>513.33749999999998</v>
      </c>
      <c r="L225" s="61"/>
      <c r="M225" s="61"/>
      <c r="N225" s="61"/>
      <c r="O225" s="61"/>
      <c r="P225" s="61"/>
      <c r="Q225" s="61"/>
    </row>
    <row r="226" spans="1:17" ht="15" thickBot="1">
      <c r="A226">
        <v>29</v>
      </c>
      <c r="B226" t="s">
        <v>91</v>
      </c>
      <c r="C226" s="84">
        <v>-100</v>
      </c>
      <c r="D226" s="128">
        <v>-100</v>
      </c>
      <c r="E226" s="313">
        <f t="shared" si="10"/>
        <v>-105.3</v>
      </c>
      <c r="F226" s="61"/>
      <c r="G226" s="61">
        <v>88</v>
      </c>
      <c r="H226" s="61" t="s">
        <v>96</v>
      </c>
      <c r="I226" s="84" t="s">
        <v>32</v>
      </c>
      <c r="J226" s="128" t="s">
        <v>32</v>
      </c>
      <c r="K226" s="313"/>
      <c r="L226" s="61"/>
      <c r="M226" s="61"/>
      <c r="N226" s="61"/>
      <c r="O226" s="61"/>
      <c r="P226" s="61"/>
      <c r="Q226" s="61"/>
    </row>
    <row r="227" spans="1:17" ht="15" thickBot="1">
      <c r="A227">
        <v>30</v>
      </c>
      <c r="B227" t="s">
        <v>93</v>
      </c>
      <c r="C227" s="84">
        <v>-100</v>
      </c>
      <c r="D227" s="128">
        <v>-100</v>
      </c>
      <c r="E227" s="313">
        <f t="shared" si="10"/>
        <v>-105.3</v>
      </c>
      <c r="F227" s="61"/>
      <c r="G227" s="61">
        <v>89</v>
      </c>
      <c r="H227" s="61" t="s">
        <v>302</v>
      </c>
      <c r="I227" s="84" t="s">
        <v>32</v>
      </c>
      <c r="J227" s="128" t="s">
        <v>32</v>
      </c>
      <c r="K227" s="313"/>
      <c r="L227" s="61"/>
      <c r="M227" s="61"/>
      <c r="N227" s="61"/>
      <c r="O227" s="61"/>
      <c r="P227" s="61"/>
      <c r="Q227" s="61"/>
    </row>
    <row r="228" spans="1:17" ht="15" thickBot="1">
      <c r="A228">
        <v>31</v>
      </c>
      <c r="B228" t="s">
        <v>95</v>
      </c>
      <c r="C228" s="84">
        <v>1953</v>
      </c>
      <c r="D228" s="128">
        <v>2307.5</v>
      </c>
      <c r="E228" s="313">
        <f t="shared" si="10"/>
        <v>2429.7974999999997</v>
      </c>
      <c r="F228" s="61"/>
      <c r="G228" s="61">
        <v>90</v>
      </c>
      <c r="H228" s="118" t="s">
        <v>302</v>
      </c>
      <c r="I228" s="84" t="s">
        <v>32</v>
      </c>
      <c r="J228" s="128" t="s">
        <v>32</v>
      </c>
      <c r="K228" s="313"/>
      <c r="L228" s="125"/>
      <c r="M228" s="61"/>
      <c r="N228" s="61"/>
      <c r="O228" s="61"/>
      <c r="P228" s="61"/>
      <c r="Q228" s="61"/>
    </row>
    <row r="229" spans="1:17" ht="15" thickBot="1">
      <c r="A229">
        <v>32</v>
      </c>
      <c r="B229" t="s">
        <v>97</v>
      </c>
      <c r="C229" s="84">
        <v>2915</v>
      </c>
      <c r="D229" s="128">
        <v>3445</v>
      </c>
      <c r="E229" s="313">
        <f t="shared" si="10"/>
        <v>3627.5849999999996</v>
      </c>
      <c r="F229" s="61"/>
      <c r="G229" s="61">
        <v>91</v>
      </c>
      <c r="H229" s="118" t="s">
        <v>100</v>
      </c>
      <c r="I229" s="84">
        <v>2805</v>
      </c>
      <c r="J229" s="128">
        <v>3867.5</v>
      </c>
      <c r="K229" s="313">
        <f t="shared" si="11"/>
        <v>4072.4775</v>
      </c>
      <c r="L229" s="125"/>
      <c r="M229" s="61"/>
      <c r="N229" s="61"/>
      <c r="O229" s="61"/>
      <c r="P229" s="61"/>
      <c r="Q229" s="61"/>
    </row>
    <row r="230" spans="1:17" ht="15" thickBot="1">
      <c r="A230">
        <v>33</v>
      </c>
      <c r="B230" t="s">
        <v>99</v>
      </c>
      <c r="C230" s="84" t="s">
        <v>209</v>
      </c>
      <c r="D230" s="128" t="s">
        <v>32</v>
      </c>
      <c r="E230" s="313"/>
      <c r="F230" s="61"/>
      <c r="G230" s="61">
        <v>92</v>
      </c>
      <c r="H230" s="118" t="s">
        <v>102</v>
      </c>
      <c r="I230" s="84">
        <v>4725</v>
      </c>
      <c r="J230" s="128">
        <v>6142.5</v>
      </c>
      <c r="K230" s="313">
        <f t="shared" si="11"/>
        <v>6468.0524999999998</v>
      </c>
      <c r="L230" s="125"/>
      <c r="M230" s="61"/>
      <c r="N230" s="61"/>
      <c r="O230" s="69"/>
      <c r="P230" s="61"/>
      <c r="Q230" s="61"/>
    </row>
    <row r="231" spans="1:17" ht="15" thickBot="1">
      <c r="A231">
        <v>34</v>
      </c>
      <c r="B231" t="s">
        <v>101</v>
      </c>
      <c r="C231" s="84" t="s">
        <v>209</v>
      </c>
      <c r="D231" s="128" t="s">
        <v>32</v>
      </c>
      <c r="E231" s="313"/>
      <c r="F231" s="61"/>
      <c r="G231" s="61">
        <v>93</v>
      </c>
      <c r="H231" s="118" t="s">
        <v>104</v>
      </c>
      <c r="I231" s="84">
        <v>7002</v>
      </c>
      <c r="J231" s="128">
        <v>8274.5</v>
      </c>
      <c r="K231" s="313">
        <f t="shared" si="11"/>
        <v>8713.048499999999</v>
      </c>
      <c r="L231" s="125"/>
      <c r="M231" s="61"/>
      <c r="N231" s="61"/>
      <c r="O231" s="69"/>
      <c r="P231" s="61"/>
      <c r="Q231" s="61"/>
    </row>
    <row r="232" spans="1:17" ht="15" thickBot="1">
      <c r="A232">
        <v>35</v>
      </c>
      <c r="B232" t="s">
        <v>103</v>
      </c>
      <c r="C232" s="84">
        <v>30</v>
      </c>
      <c r="D232" s="128">
        <v>39</v>
      </c>
      <c r="E232" s="313">
        <f t="shared" si="10"/>
        <v>41.067</v>
      </c>
      <c r="F232" s="61"/>
      <c r="G232" s="61">
        <v>94</v>
      </c>
      <c r="H232" s="61" t="s">
        <v>106</v>
      </c>
      <c r="I232" s="84">
        <v>5275</v>
      </c>
      <c r="J232" s="128">
        <v>7013.5</v>
      </c>
      <c r="K232" s="313">
        <f t="shared" si="11"/>
        <v>7385.2154999999993</v>
      </c>
      <c r="L232" s="125"/>
      <c r="M232" s="61"/>
      <c r="N232" s="61"/>
      <c r="O232" s="69"/>
      <c r="P232" s="61"/>
      <c r="Q232" s="61"/>
    </row>
    <row r="233" spans="1:17" ht="15" thickBot="1">
      <c r="A233">
        <v>36</v>
      </c>
      <c r="B233" t="s">
        <v>105</v>
      </c>
      <c r="C233" s="84">
        <v>30</v>
      </c>
      <c r="D233" s="128">
        <v>39</v>
      </c>
      <c r="E233" s="313">
        <f t="shared" si="10"/>
        <v>41.067</v>
      </c>
      <c r="F233" s="61"/>
      <c r="G233" s="61">
        <v>95</v>
      </c>
      <c r="H233" s="118" t="s">
        <v>108</v>
      </c>
      <c r="I233" s="84">
        <v>385</v>
      </c>
      <c r="J233" s="128">
        <v>455</v>
      </c>
      <c r="K233" s="313">
        <f t="shared" si="11"/>
        <v>479.11499999999995</v>
      </c>
      <c r="L233" s="125"/>
      <c r="M233" s="61"/>
      <c r="N233" s="61"/>
      <c r="O233" s="69"/>
      <c r="P233" s="61"/>
      <c r="Q233" s="61"/>
    </row>
    <row r="234" spans="1:17" ht="15" thickBot="1">
      <c r="A234">
        <v>37</v>
      </c>
      <c r="B234" t="s">
        <v>107</v>
      </c>
      <c r="C234" s="84">
        <v>-10</v>
      </c>
      <c r="D234" s="128">
        <v>-10</v>
      </c>
      <c r="E234" s="313">
        <f t="shared" si="10"/>
        <v>-10.53</v>
      </c>
      <c r="F234" s="61" t="s">
        <v>335</v>
      </c>
      <c r="G234" s="61">
        <v>96</v>
      </c>
      <c r="H234" s="118" t="s">
        <v>110</v>
      </c>
      <c r="I234" s="84">
        <v>875</v>
      </c>
      <c r="J234" s="128" t="s">
        <v>209</v>
      </c>
      <c r="K234" s="313"/>
      <c r="L234" s="125"/>
      <c r="M234" s="61"/>
      <c r="N234" s="61"/>
      <c r="O234" s="70"/>
      <c r="P234" s="61"/>
      <c r="Q234" s="61"/>
    </row>
    <row r="235" spans="1:17" ht="15" thickBot="1">
      <c r="A235">
        <v>38</v>
      </c>
      <c r="B235" s="4" t="s">
        <v>115</v>
      </c>
      <c r="C235" s="84" t="s">
        <v>209</v>
      </c>
      <c r="D235" s="100" t="s">
        <v>32</v>
      </c>
      <c r="E235" s="313"/>
      <c r="F235" s="61"/>
      <c r="G235" s="61">
        <v>97</v>
      </c>
      <c r="H235" s="118" t="s">
        <v>112</v>
      </c>
      <c r="I235" s="84" t="s">
        <v>209</v>
      </c>
      <c r="J235" s="128" t="s">
        <v>209</v>
      </c>
      <c r="K235" s="313"/>
      <c r="L235" s="125"/>
      <c r="M235" s="61"/>
      <c r="N235" s="61"/>
      <c r="O235" s="70"/>
      <c r="P235" s="61"/>
      <c r="Q235" s="61"/>
    </row>
    <row r="236" spans="1:17" ht="15" thickBot="1">
      <c r="A236">
        <v>39</v>
      </c>
      <c r="B236" s="4" t="s">
        <v>117</v>
      </c>
      <c r="C236" s="84">
        <v>0</v>
      </c>
      <c r="D236" s="128">
        <v>0</v>
      </c>
      <c r="E236" s="313">
        <f t="shared" si="10"/>
        <v>0</v>
      </c>
      <c r="F236" s="61"/>
      <c r="G236" s="61">
        <v>98</v>
      </c>
      <c r="H236" s="61" t="s">
        <v>114</v>
      </c>
      <c r="I236" s="84">
        <v>4068</v>
      </c>
      <c r="J236" s="128">
        <v>5288.4000000000005</v>
      </c>
      <c r="K236" s="313">
        <f t="shared" si="11"/>
        <v>5568.6851999999999</v>
      </c>
      <c r="L236" s="125"/>
      <c r="M236" s="61"/>
      <c r="N236" s="61"/>
      <c r="O236" s="69"/>
      <c r="P236" s="61"/>
      <c r="Q236" s="61"/>
    </row>
    <row r="237" spans="1:17" ht="15" thickBot="1">
      <c r="A237">
        <v>40</v>
      </c>
      <c r="B237" t="s">
        <v>119</v>
      </c>
      <c r="C237" s="84">
        <v>820</v>
      </c>
      <c r="D237" s="128">
        <v>1170</v>
      </c>
      <c r="E237" s="313">
        <f t="shared" si="10"/>
        <v>1232.01</v>
      </c>
      <c r="F237" s="61"/>
      <c r="G237" s="61">
        <v>99</v>
      </c>
      <c r="H237" s="61" t="s">
        <v>116</v>
      </c>
      <c r="I237" s="84">
        <v>6186</v>
      </c>
      <c r="J237" s="128">
        <v>8041.8</v>
      </c>
      <c r="K237" s="313">
        <f t="shared" si="11"/>
        <v>8468.0154000000002</v>
      </c>
      <c r="L237" s="125"/>
      <c r="M237" s="61"/>
      <c r="N237" s="61"/>
      <c r="O237" s="61"/>
      <c r="P237" s="61"/>
      <c r="Q237" s="61"/>
    </row>
    <row r="238" spans="1:17" ht="15" thickBot="1">
      <c r="A238">
        <v>41</v>
      </c>
      <c r="B238" t="s">
        <v>121</v>
      </c>
      <c r="C238" s="84">
        <v>40</v>
      </c>
      <c r="D238" s="128">
        <v>26</v>
      </c>
      <c r="E238" s="313">
        <f t="shared" si="10"/>
        <v>27.378</v>
      </c>
      <c r="F238" s="61"/>
      <c r="G238" s="61">
        <v>100</v>
      </c>
      <c r="H238" s="61" t="s">
        <v>118</v>
      </c>
      <c r="I238" s="84">
        <v>8550</v>
      </c>
      <c r="J238" s="128">
        <v>11115</v>
      </c>
      <c r="K238" s="313">
        <f t="shared" si="11"/>
        <v>11704.094999999999</v>
      </c>
      <c r="L238" s="125"/>
      <c r="M238" s="61"/>
      <c r="N238" s="61"/>
      <c r="O238" s="61"/>
      <c r="P238" s="61"/>
      <c r="Q238" s="61"/>
    </row>
    <row r="239" spans="1:17" ht="15" thickBot="1">
      <c r="A239">
        <v>42</v>
      </c>
      <c r="B239" t="s">
        <v>123</v>
      </c>
      <c r="C239" s="84">
        <v>250</v>
      </c>
      <c r="D239" s="128">
        <v>260</v>
      </c>
      <c r="E239" s="313">
        <f t="shared" si="10"/>
        <v>273.77999999999997</v>
      </c>
      <c r="F239" s="61"/>
      <c r="G239" s="61">
        <v>101</v>
      </c>
      <c r="H239" s="61" t="s">
        <v>120</v>
      </c>
      <c r="I239" s="84">
        <v>500</v>
      </c>
      <c r="J239" s="128">
        <v>650</v>
      </c>
      <c r="K239" s="313">
        <f t="shared" si="11"/>
        <v>684.44999999999993</v>
      </c>
      <c r="L239" s="61" t="s">
        <v>221</v>
      </c>
      <c r="M239" s="61"/>
      <c r="N239" s="61"/>
      <c r="O239" s="61"/>
      <c r="P239" s="61"/>
      <c r="Q239" s="61"/>
    </row>
    <row r="240" spans="1:17" ht="15" thickBot="1">
      <c r="A240">
        <v>43</v>
      </c>
      <c r="B240" t="s">
        <v>125</v>
      </c>
      <c r="C240" s="84">
        <v>695</v>
      </c>
      <c r="D240" s="128">
        <v>663</v>
      </c>
      <c r="E240" s="313">
        <f t="shared" si="10"/>
        <v>698.13900000000001</v>
      </c>
      <c r="F240" s="61"/>
      <c r="G240" s="61">
        <v>102</v>
      </c>
      <c r="H240" s="61" t="s">
        <v>122</v>
      </c>
      <c r="I240" s="84">
        <v>3300</v>
      </c>
      <c r="J240" s="128">
        <v>4290</v>
      </c>
      <c r="K240" s="313">
        <f t="shared" si="11"/>
        <v>4517.37</v>
      </c>
      <c r="L240" s="125"/>
      <c r="M240" s="61"/>
      <c r="N240" s="61"/>
      <c r="O240" s="61"/>
      <c r="P240" s="61"/>
      <c r="Q240" s="61"/>
    </row>
    <row r="241" spans="1:17" ht="15" thickBot="1">
      <c r="A241">
        <v>44</v>
      </c>
      <c r="B241" t="s">
        <v>127</v>
      </c>
      <c r="C241" s="84">
        <v>165</v>
      </c>
      <c r="D241" s="128">
        <v>260</v>
      </c>
      <c r="E241" s="313">
        <f t="shared" si="10"/>
        <v>273.77999999999997</v>
      </c>
      <c r="F241" s="61"/>
      <c r="G241" s="61">
        <v>103</v>
      </c>
      <c r="H241" s="61" t="s">
        <v>124</v>
      </c>
      <c r="I241" s="84">
        <v>4020</v>
      </c>
      <c r="J241" s="128">
        <v>5226</v>
      </c>
      <c r="K241" s="313">
        <f t="shared" si="11"/>
        <v>5502.9780000000001</v>
      </c>
      <c r="L241" s="125"/>
      <c r="M241" s="61"/>
      <c r="N241" s="61"/>
      <c r="O241" s="61"/>
      <c r="P241" s="61"/>
      <c r="Q241" s="61"/>
    </row>
    <row r="242" spans="1:17" ht="15" thickBot="1">
      <c r="A242">
        <v>45</v>
      </c>
      <c r="B242" s="4" t="s">
        <v>129</v>
      </c>
      <c r="C242" s="84" t="s">
        <v>32</v>
      </c>
      <c r="D242" s="128" t="s">
        <v>32</v>
      </c>
      <c r="E242" s="313"/>
      <c r="F242" s="61"/>
      <c r="G242" s="61">
        <v>104</v>
      </c>
      <c r="H242" s="61" t="s">
        <v>126</v>
      </c>
      <c r="I242" s="84">
        <v>5220</v>
      </c>
      <c r="J242" s="128">
        <v>6786</v>
      </c>
      <c r="K242" s="313">
        <f t="shared" si="11"/>
        <v>7145.6579999999994</v>
      </c>
      <c r="L242" s="125"/>
      <c r="M242" s="61"/>
      <c r="N242" s="61"/>
      <c r="O242" s="61"/>
      <c r="P242" s="61"/>
      <c r="Q242" s="61"/>
    </row>
    <row r="243" spans="1:17" ht="15" thickBot="1">
      <c r="A243">
        <v>46</v>
      </c>
      <c r="B243" s="4" t="s">
        <v>131</v>
      </c>
      <c r="C243" s="84" t="s">
        <v>32</v>
      </c>
      <c r="D243" s="86" t="s">
        <v>32</v>
      </c>
      <c r="E243" s="313"/>
      <c r="F243" s="61"/>
      <c r="G243" s="61">
        <v>105</v>
      </c>
      <c r="H243" s="61" t="s">
        <v>128</v>
      </c>
      <c r="I243" s="84">
        <v>5766</v>
      </c>
      <c r="J243" s="128">
        <v>7495.8</v>
      </c>
      <c r="K243" s="313">
        <f t="shared" si="11"/>
        <v>7893.0774000000001</v>
      </c>
      <c r="L243" s="125"/>
      <c r="M243" s="61"/>
      <c r="N243" s="61"/>
      <c r="O243" s="61"/>
      <c r="P243" s="61"/>
      <c r="Q243" s="61"/>
    </row>
    <row r="244" spans="1:17" ht="15" thickBot="1">
      <c r="A244">
        <v>47</v>
      </c>
      <c r="B244" s="4" t="s">
        <v>133</v>
      </c>
      <c r="C244" s="84">
        <v>6323</v>
      </c>
      <c r="D244" s="128">
        <v>8417.5</v>
      </c>
      <c r="E244" s="313">
        <f t="shared" si="10"/>
        <v>8863.6274999999987</v>
      </c>
      <c r="F244" s="61"/>
      <c r="G244" s="61">
        <v>106</v>
      </c>
      <c r="H244" s="118" t="s">
        <v>130</v>
      </c>
      <c r="I244" s="84">
        <v>3933</v>
      </c>
      <c r="J244" s="128">
        <v>4647.5</v>
      </c>
      <c r="K244" s="313">
        <f t="shared" si="11"/>
        <v>4893.8175000000001</v>
      </c>
      <c r="L244" s="125"/>
      <c r="M244" s="61"/>
      <c r="N244" s="61"/>
      <c r="O244" s="61"/>
      <c r="P244" s="61"/>
      <c r="Q244" s="61"/>
    </row>
    <row r="245" spans="1:17" ht="15" thickBot="1">
      <c r="A245">
        <v>48</v>
      </c>
      <c r="B245" s="4" t="s">
        <v>135</v>
      </c>
      <c r="C245" s="84">
        <v>7576</v>
      </c>
      <c r="D245" s="128">
        <v>9067.5</v>
      </c>
      <c r="E245" s="313">
        <f t="shared" si="10"/>
        <v>9548.0774999999994</v>
      </c>
      <c r="F245" s="61"/>
      <c r="G245" s="61">
        <v>107</v>
      </c>
      <c r="H245" s="118" t="s">
        <v>134</v>
      </c>
      <c r="I245" s="84">
        <v>1760</v>
      </c>
      <c r="J245" s="128">
        <v>2340</v>
      </c>
      <c r="K245" s="313">
        <f t="shared" si="11"/>
        <v>2464.02</v>
      </c>
      <c r="L245" s="125"/>
      <c r="M245" s="61"/>
      <c r="N245" s="61"/>
      <c r="O245" s="61"/>
      <c r="P245" s="61"/>
      <c r="Q245" s="61"/>
    </row>
    <row r="246" spans="1:17" ht="15" thickBot="1">
      <c r="A246">
        <v>49</v>
      </c>
      <c r="B246" s="4" t="s">
        <v>137</v>
      </c>
      <c r="C246" s="84">
        <v>675</v>
      </c>
      <c r="D246" s="128">
        <v>877.5</v>
      </c>
      <c r="E246" s="313">
        <f t="shared" si="10"/>
        <v>924.00749999999994</v>
      </c>
      <c r="F246" s="61"/>
      <c r="G246" s="61">
        <v>108</v>
      </c>
      <c r="H246" s="118" t="s">
        <v>132</v>
      </c>
      <c r="I246" s="84">
        <v>4395</v>
      </c>
      <c r="J246" s="128">
        <v>5453.5</v>
      </c>
      <c r="K246" s="313">
        <f t="shared" si="11"/>
        <v>5742.5355</v>
      </c>
      <c r="L246" s="125"/>
      <c r="M246" s="61"/>
      <c r="N246" s="61"/>
      <c r="O246" s="61"/>
      <c r="P246" s="61"/>
      <c r="Q246" s="61"/>
    </row>
    <row r="247" spans="1:17" ht="15" thickBot="1">
      <c r="A247">
        <v>50</v>
      </c>
      <c r="B247" s="4" t="s">
        <v>139</v>
      </c>
      <c r="C247" s="84" t="s">
        <v>32</v>
      </c>
      <c r="D247" s="128" t="s">
        <v>32</v>
      </c>
      <c r="E247" s="313"/>
      <c r="F247" s="61"/>
      <c r="G247" s="61">
        <v>109</v>
      </c>
      <c r="H247" s="118" t="s">
        <v>136</v>
      </c>
      <c r="I247" s="84">
        <v>795</v>
      </c>
      <c r="J247" s="128">
        <v>1280.5</v>
      </c>
      <c r="K247" s="313">
        <f t="shared" si="11"/>
        <v>1348.3664999999999</v>
      </c>
      <c r="L247" s="125"/>
      <c r="M247" s="61"/>
      <c r="N247" s="61"/>
      <c r="O247" s="61"/>
      <c r="P247" s="61"/>
      <c r="Q247" s="61"/>
    </row>
    <row r="248" spans="1:17" ht="15" thickBot="1">
      <c r="A248">
        <v>51</v>
      </c>
      <c r="B248" s="4" t="s">
        <v>145</v>
      </c>
      <c r="C248" s="84">
        <v>4360</v>
      </c>
      <c r="D248" s="128">
        <v>3893.5</v>
      </c>
      <c r="E248" s="313">
        <f t="shared" si="10"/>
        <v>4099.8554999999997</v>
      </c>
      <c r="F248" s="61"/>
      <c r="G248" s="61">
        <v>110</v>
      </c>
      <c r="H248" s="61" t="s">
        <v>138</v>
      </c>
      <c r="I248" s="84">
        <v>5514</v>
      </c>
      <c r="J248" s="128">
        <v>6103.5</v>
      </c>
      <c r="K248" s="313">
        <f t="shared" si="11"/>
        <v>6426.9854999999998</v>
      </c>
      <c r="L248" s="125"/>
      <c r="M248" s="61"/>
      <c r="N248" s="61"/>
      <c r="O248" s="61"/>
      <c r="P248" s="61"/>
      <c r="Q248" s="61"/>
    </row>
    <row r="249" spans="1:17" ht="15" thickBot="1">
      <c r="A249">
        <v>52</v>
      </c>
      <c r="B249" s="4" t="s">
        <v>336</v>
      </c>
      <c r="C249" s="84" t="s">
        <v>32</v>
      </c>
      <c r="D249" s="128" t="s">
        <v>32</v>
      </c>
      <c r="E249" s="313"/>
      <c r="F249" s="61"/>
      <c r="G249" s="61">
        <v>111</v>
      </c>
      <c r="H249" s="61" t="s">
        <v>140</v>
      </c>
      <c r="I249" s="84">
        <v>2640</v>
      </c>
      <c r="J249" s="128">
        <v>3250</v>
      </c>
      <c r="K249" s="313">
        <f t="shared" si="11"/>
        <v>3422.25</v>
      </c>
      <c r="L249" s="125"/>
      <c r="M249" s="61"/>
      <c r="N249" s="61"/>
      <c r="O249" s="61"/>
      <c r="P249" s="61"/>
      <c r="Q249" s="61"/>
    </row>
    <row r="250" spans="1:17" ht="15" thickBot="1">
      <c r="A250">
        <v>53</v>
      </c>
      <c r="B250" s="4" t="s">
        <v>151</v>
      </c>
      <c r="C250" s="84" t="s">
        <v>32</v>
      </c>
      <c r="D250" s="128" t="s">
        <v>32</v>
      </c>
      <c r="E250" s="313"/>
      <c r="F250" s="61"/>
      <c r="G250" s="61">
        <v>112</v>
      </c>
      <c r="H250" s="61" t="s">
        <v>142</v>
      </c>
      <c r="I250" s="84" t="s">
        <v>209</v>
      </c>
      <c r="J250" s="128" t="s">
        <v>209</v>
      </c>
      <c r="K250" s="313"/>
      <c r="L250" s="140"/>
      <c r="M250" s="133"/>
      <c r="N250" s="61"/>
      <c r="O250" s="61"/>
      <c r="P250" s="61"/>
      <c r="Q250" s="61"/>
    </row>
    <row r="251" spans="1:17" ht="15" thickBot="1">
      <c r="A251">
        <v>54</v>
      </c>
      <c r="B251" s="4" t="s">
        <v>153</v>
      </c>
      <c r="C251" s="84" t="s">
        <v>32</v>
      </c>
      <c r="D251" s="128" t="s">
        <v>32</v>
      </c>
      <c r="E251" s="313"/>
      <c r="F251" s="61"/>
      <c r="G251" s="61">
        <v>113</v>
      </c>
      <c r="H251" s="118" t="s">
        <v>144</v>
      </c>
      <c r="I251" s="84">
        <v>4314</v>
      </c>
      <c r="J251" s="128">
        <v>5063.5</v>
      </c>
      <c r="K251" s="313">
        <f t="shared" si="11"/>
        <v>5331.8654999999999</v>
      </c>
      <c r="L251" s="140"/>
      <c r="M251" s="61"/>
      <c r="N251" s="61"/>
      <c r="O251" s="61"/>
      <c r="P251" s="61"/>
      <c r="Q251" s="61"/>
    </row>
    <row r="252" spans="1:17" ht="15" thickBot="1">
      <c r="A252">
        <v>55</v>
      </c>
      <c r="B252" s="4" t="s">
        <v>153</v>
      </c>
      <c r="C252" s="84" t="s">
        <v>32</v>
      </c>
      <c r="D252" s="128" t="s">
        <v>32</v>
      </c>
      <c r="E252" s="313"/>
      <c r="F252" s="61"/>
      <c r="G252" s="61">
        <v>114</v>
      </c>
      <c r="H252" s="129" t="s">
        <v>146</v>
      </c>
      <c r="I252" s="84">
        <v>7182</v>
      </c>
      <c r="J252" s="141">
        <v>8053.5</v>
      </c>
      <c r="K252" s="313">
        <f t="shared" si="11"/>
        <v>8480.3354999999992</v>
      </c>
      <c r="L252" s="140" t="s">
        <v>337</v>
      </c>
      <c r="M252" s="133"/>
      <c r="N252" s="61"/>
      <c r="O252" s="61"/>
      <c r="P252" s="61"/>
      <c r="Q252" s="61"/>
    </row>
    <row r="253" spans="1:17" ht="15" thickBot="1">
      <c r="A253">
        <v>56</v>
      </c>
      <c r="B253" s="4" t="s">
        <v>155</v>
      </c>
      <c r="C253" s="84">
        <v>4980</v>
      </c>
      <c r="D253" s="128" t="s">
        <v>32</v>
      </c>
      <c r="E253" s="313"/>
      <c r="F253" s="61"/>
      <c r="G253" s="61">
        <v>115</v>
      </c>
      <c r="H253" s="118" t="s">
        <v>338</v>
      </c>
      <c r="I253" s="84">
        <v>1920</v>
      </c>
      <c r="J253" s="128">
        <v>2275</v>
      </c>
      <c r="K253" s="313">
        <f t="shared" si="11"/>
        <v>2395.5749999999998</v>
      </c>
      <c r="L253" s="125"/>
      <c r="M253" s="61"/>
      <c r="N253" s="61"/>
      <c r="O253" s="61"/>
      <c r="P253" s="61"/>
      <c r="Q253" s="61"/>
    </row>
    <row r="254" spans="1:17" ht="15" thickBot="1">
      <c r="A254">
        <v>57</v>
      </c>
      <c r="B254" s="4" t="s">
        <v>339</v>
      </c>
      <c r="C254" s="84" t="s">
        <v>32</v>
      </c>
      <c r="D254" s="128" t="s">
        <v>32</v>
      </c>
      <c r="E254" s="313"/>
      <c r="F254" s="61"/>
      <c r="G254" s="61">
        <v>116</v>
      </c>
      <c r="H254" s="61" t="s">
        <v>150</v>
      </c>
      <c r="I254" s="84">
        <v>605</v>
      </c>
      <c r="J254" s="128">
        <v>800</v>
      </c>
      <c r="K254" s="313">
        <f t="shared" si="11"/>
        <v>842.4</v>
      </c>
      <c r="L254" s="125"/>
      <c r="M254" s="61"/>
      <c r="N254" s="61"/>
      <c r="O254" s="61"/>
      <c r="P254" s="61"/>
      <c r="Q254" s="61"/>
    </row>
    <row r="255" spans="1:17" ht="15" thickBot="1">
      <c r="A255">
        <v>58</v>
      </c>
      <c r="B255" s="4" t="s">
        <v>340</v>
      </c>
      <c r="C255" s="84" t="s">
        <v>32</v>
      </c>
      <c r="D255" s="128" t="s">
        <v>32</v>
      </c>
      <c r="E255" s="313"/>
      <c r="F255" s="61"/>
      <c r="G255" s="61">
        <v>117</v>
      </c>
      <c r="H255" s="61" t="s">
        <v>152</v>
      </c>
      <c r="I255" s="84">
        <v>605</v>
      </c>
      <c r="J255" s="128">
        <v>800</v>
      </c>
      <c r="K255" s="313">
        <f t="shared" si="11"/>
        <v>842.4</v>
      </c>
      <c r="L255" s="125"/>
      <c r="M255" s="61"/>
      <c r="N255" s="61"/>
      <c r="O255" s="61"/>
      <c r="P255" s="61"/>
      <c r="Q255" s="61"/>
    </row>
    <row r="256" spans="1:17" ht="15" thickBot="1">
      <c r="A256">
        <v>59</v>
      </c>
      <c r="B256" s="4" t="s">
        <v>341</v>
      </c>
      <c r="C256" s="84">
        <v>-10500</v>
      </c>
      <c r="D256" s="128">
        <v>-20000</v>
      </c>
      <c r="E256" s="313">
        <f t="shared" si="10"/>
        <v>-21060</v>
      </c>
      <c r="F256" s="61" t="s">
        <v>349</v>
      </c>
      <c r="G256" s="61">
        <v>118</v>
      </c>
      <c r="H256" s="61" t="s">
        <v>154</v>
      </c>
      <c r="I256" s="84">
        <v>880</v>
      </c>
      <c r="J256" s="128">
        <v>1150</v>
      </c>
      <c r="K256" s="313">
        <f t="shared" si="11"/>
        <v>1210.9499999999998</v>
      </c>
      <c r="L256" s="125"/>
      <c r="M256" s="61"/>
      <c r="N256" s="61"/>
      <c r="O256" s="61"/>
      <c r="P256" s="61"/>
      <c r="Q256" s="61"/>
    </row>
    <row r="257" spans="2:17" ht="15" thickBot="1">
      <c r="B257" s="4"/>
      <c r="C257" s="61"/>
      <c r="D257" s="61"/>
      <c r="E257" s="61"/>
      <c r="F257" s="61"/>
      <c r="G257" s="61">
        <v>119</v>
      </c>
      <c r="H257" s="61" t="s">
        <v>156</v>
      </c>
      <c r="I257" s="84">
        <v>605</v>
      </c>
      <c r="J257" s="128">
        <v>800</v>
      </c>
      <c r="K257" s="313">
        <f t="shared" si="11"/>
        <v>842.4</v>
      </c>
      <c r="L257" s="125"/>
      <c r="M257" s="61"/>
      <c r="N257" s="61"/>
      <c r="O257" s="61"/>
      <c r="P257" s="61"/>
      <c r="Q257" s="61"/>
    </row>
    <row r="258" spans="2:17" ht="15" thickBot="1">
      <c r="B258" s="4"/>
      <c r="C258" s="61"/>
      <c r="D258" s="61"/>
      <c r="E258" s="61"/>
      <c r="F258" s="61"/>
      <c r="G258" s="61">
        <v>120</v>
      </c>
      <c r="H258" s="61" t="s">
        <v>157</v>
      </c>
      <c r="I258" s="84">
        <v>880</v>
      </c>
      <c r="J258" s="128">
        <v>1150</v>
      </c>
      <c r="K258" s="313">
        <f t="shared" si="11"/>
        <v>1210.9499999999998</v>
      </c>
      <c r="L258" s="125"/>
      <c r="M258" s="61"/>
      <c r="N258" s="61"/>
      <c r="O258" s="61"/>
      <c r="P258" s="61"/>
      <c r="Q258" s="61"/>
    </row>
    <row r="259" spans="2:17" ht="15" thickBot="1">
      <c r="B259" s="4"/>
      <c r="C259" s="61"/>
      <c r="D259" s="61"/>
      <c r="E259" s="61"/>
      <c r="F259" s="61"/>
      <c r="G259" s="61">
        <v>121</v>
      </c>
      <c r="H259" s="61" t="s">
        <v>158</v>
      </c>
      <c r="I259" s="84">
        <v>1230</v>
      </c>
      <c r="J259" s="128">
        <v>1625</v>
      </c>
      <c r="K259" s="313">
        <f t="shared" si="11"/>
        <v>1711.125</v>
      </c>
      <c r="L259" s="61"/>
      <c r="M259" s="61"/>
      <c r="N259" s="61"/>
      <c r="O259" s="61"/>
      <c r="P259" s="61"/>
      <c r="Q259" s="61"/>
    </row>
    <row r="260" spans="2:17" ht="15" thickBot="1">
      <c r="B260" s="4"/>
      <c r="C260" s="61"/>
      <c r="D260" s="61"/>
      <c r="E260" s="61"/>
      <c r="F260" s="61"/>
      <c r="G260" s="61">
        <v>122</v>
      </c>
      <c r="H260" s="61" t="s">
        <v>160</v>
      </c>
      <c r="I260" s="84">
        <v>1770</v>
      </c>
      <c r="J260" s="128">
        <v>2268.5</v>
      </c>
      <c r="K260" s="313">
        <f t="shared" si="11"/>
        <v>2388.7304999999997</v>
      </c>
      <c r="L260" s="61"/>
      <c r="M260" s="61"/>
      <c r="N260" s="61"/>
      <c r="O260" s="61"/>
      <c r="P260" s="61"/>
      <c r="Q260" s="61"/>
    </row>
    <row r="261" spans="2:17" ht="15" thickBot="1">
      <c r="B261" s="1"/>
      <c r="C261" s="61"/>
      <c r="D261" s="61"/>
      <c r="E261" s="61"/>
      <c r="F261" s="61"/>
      <c r="G261" s="61">
        <v>123</v>
      </c>
      <c r="H261" s="61" t="s">
        <v>161</v>
      </c>
      <c r="I261" s="84">
        <v>1902</v>
      </c>
      <c r="J261" s="128">
        <v>2502.5</v>
      </c>
      <c r="K261" s="313">
        <f t="shared" si="11"/>
        <v>2635.1324999999997</v>
      </c>
      <c r="L261" s="61"/>
      <c r="M261" s="61"/>
      <c r="N261" s="61"/>
      <c r="O261" s="61"/>
      <c r="P261" s="61"/>
      <c r="Q261" s="61"/>
    </row>
    <row r="262" spans="2:17" ht="15" thickBot="1">
      <c r="B262" s="1"/>
      <c r="C262" s="61"/>
      <c r="D262" s="61"/>
      <c r="E262" s="61"/>
      <c r="F262" s="61"/>
      <c r="G262" s="61">
        <v>124</v>
      </c>
      <c r="H262" s="61" t="s">
        <v>162</v>
      </c>
      <c r="I262" s="84">
        <v>2070</v>
      </c>
      <c r="J262" s="128">
        <v>2242.5</v>
      </c>
      <c r="K262" s="313">
        <f t="shared" ref="K262:K267" si="13">+J262*1.053</f>
        <v>2361.3525</v>
      </c>
      <c r="L262" s="61"/>
      <c r="M262" s="61"/>
      <c r="N262" s="61"/>
      <c r="O262" s="61"/>
      <c r="P262" s="61"/>
      <c r="Q262" s="61"/>
    </row>
    <row r="263" spans="2:17" ht="15" thickBot="1">
      <c r="B263" s="1"/>
      <c r="C263" s="61"/>
      <c r="D263" s="61"/>
      <c r="E263" s="61"/>
      <c r="F263" s="61"/>
      <c r="G263" s="61">
        <v>125</v>
      </c>
      <c r="H263" s="61" t="s">
        <v>342</v>
      </c>
      <c r="I263" s="84">
        <v>10665</v>
      </c>
      <c r="J263" s="128">
        <v>-7300</v>
      </c>
      <c r="K263" s="313">
        <f t="shared" si="13"/>
        <v>-7686.9</v>
      </c>
      <c r="L263" s="138" t="s">
        <v>350</v>
      </c>
      <c r="M263" s="133"/>
      <c r="N263" s="61"/>
      <c r="O263" s="61"/>
      <c r="P263" s="61"/>
      <c r="Q263" s="61"/>
    </row>
    <row r="264" spans="2:17" ht="15" thickBot="1">
      <c r="C264" s="61"/>
      <c r="D264" s="61"/>
      <c r="E264" s="61"/>
      <c r="F264" s="61"/>
      <c r="G264" s="61">
        <v>126</v>
      </c>
      <c r="H264" s="61" t="s">
        <v>222</v>
      </c>
      <c r="I264" s="84">
        <v>125</v>
      </c>
      <c r="J264" s="128">
        <v>162.5</v>
      </c>
      <c r="K264" s="313">
        <f t="shared" si="13"/>
        <v>171.11249999999998</v>
      </c>
      <c r="L264" s="61"/>
      <c r="M264" s="61"/>
      <c r="N264" s="61"/>
      <c r="O264" s="61"/>
      <c r="P264" s="61"/>
      <c r="Q264" s="61"/>
    </row>
    <row r="265" spans="2:17" ht="15" thickBot="1">
      <c r="B265" s="1"/>
      <c r="C265" s="61"/>
      <c r="D265" s="61"/>
      <c r="E265" s="61"/>
      <c r="F265" s="61"/>
      <c r="G265" s="61">
        <v>127</v>
      </c>
      <c r="H265" s="61" t="s">
        <v>166</v>
      </c>
      <c r="I265" s="84">
        <v>475</v>
      </c>
      <c r="J265" s="128">
        <v>390</v>
      </c>
      <c r="K265" s="313">
        <f t="shared" si="13"/>
        <v>410.66999999999996</v>
      </c>
      <c r="L265" s="61"/>
      <c r="M265" s="61"/>
      <c r="N265" s="61"/>
      <c r="O265" s="61"/>
      <c r="P265" s="61"/>
      <c r="Q265" s="61"/>
    </row>
    <row r="266" spans="2:17" ht="15" thickBot="1">
      <c r="B266" s="1"/>
      <c r="C266" s="61"/>
      <c r="D266" s="61"/>
      <c r="E266" s="61"/>
      <c r="F266" s="61"/>
      <c r="G266" s="61">
        <v>128</v>
      </c>
      <c r="H266" s="61" t="s">
        <v>167</v>
      </c>
      <c r="I266" s="84">
        <v>2277</v>
      </c>
      <c r="J266" s="128" t="s">
        <v>209</v>
      </c>
      <c r="K266" s="313"/>
      <c r="L266" s="61"/>
      <c r="M266" s="61"/>
      <c r="N266" s="61"/>
      <c r="O266" s="61"/>
      <c r="P266" s="61"/>
      <c r="Q266" s="61"/>
    </row>
    <row r="267" spans="2:17" ht="15" thickBot="1">
      <c r="B267" s="1"/>
      <c r="C267" s="61"/>
      <c r="D267" s="61"/>
      <c r="E267" s="61"/>
      <c r="F267" s="61"/>
      <c r="G267" s="61">
        <v>129</v>
      </c>
      <c r="H267" s="61" t="s">
        <v>344</v>
      </c>
      <c r="I267" s="84">
        <v>75</v>
      </c>
      <c r="J267" s="86">
        <v>58.5</v>
      </c>
      <c r="K267" s="313">
        <f t="shared" si="13"/>
        <v>61.600499999999997</v>
      </c>
      <c r="L267" s="61"/>
      <c r="M267" s="61"/>
      <c r="N267" s="61"/>
      <c r="O267" s="61"/>
      <c r="P267" s="61"/>
      <c r="Q267" s="61"/>
    </row>
    <row r="268" spans="2:17">
      <c r="C268" s="1"/>
      <c r="D268" s="1"/>
      <c r="E268" s="1"/>
      <c r="F268" s="1"/>
    </row>
    <row r="270" spans="2:17">
      <c r="B270" s="4"/>
      <c r="C270" s="4"/>
      <c r="D270" s="4"/>
    </row>
    <row r="271" spans="2:17">
      <c r="B271" s="4"/>
      <c r="C271" s="4"/>
      <c r="D271" s="4"/>
    </row>
    <row r="272" spans="2:17">
      <c r="B272" s="4"/>
      <c r="C272" s="4">
        <v>0</v>
      </c>
      <c r="D272" s="4"/>
    </row>
    <row r="273" spans="2:12">
      <c r="B273" s="4"/>
      <c r="C273" s="4"/>
      <c r="D273" s="4"/>
    </row>
    <row r="274" spans="2:12" ht="15" thickBot="1">
      <c r="I274" s="17"/>
      <c r="J274" s="22"/>
    </row>
    <row r="275" spans="2:12">
      <c r="B275" s="1" t="s">
        <v>203</v>
      </c>
    </row>
    <row r="277" spans="2:12" ht="15" thickBot="1">
      <c r="B277" s="1" t="s">
        <v>1</v>
      </c>
      <c r="C277" s="13" t="s">
        <v>351</v>
      </c>
      <c r="D277" s="15"/>
      <c r="E277" s="313"/>
      <c r="F277" s="1" t="s">
        <v>888</v>
      </c>
      <c r="L277" s="14"/>
    </row>
    <row r="278" spans="2:12">
      <c r="C278" s="14"/>
      <c r="D278" s="14"/>
      <c r="L278" s="14"/>
    </row>
    <row r="279" spans="2:12" ht="15" thickBot="1">
      <c r="B279" s="1" t="s">
        <v>2</v>
      </c>
      <c r="C279" s="13" t="s">
        <v>352</v>
      </c>
      <c r="D279" s="15"/>
      <c r="L279" s="14"/>
    </row>
    <row r="280" spans="2:12">
      <c r="C280" s="14"/>
      <c r="D280" s="14"/>
      <c r="L280" s="14"/>
    </row>
    <row r="281" spans="2:12">
      <c r="B281" s="1" t="s">
        <v>320</v>
      </c>
      <c r="C281" s="15"/>
      <c r="D281" s="15"/>
      <c r="L281" s="14"/>
    </row>
    <row r="282" spans="2:12" ht="15" thickBot="1">
      <c r="B282" s="18" t="s">
        <v>322</v>
      </c>
      <c r="C282" s="13"/>
      <c r="D282" s="15"/>
      <c r="L282" s="14"/>
    </row>
    <row r="283" spans="2:12" ht="15" thickBot="1">
      <c r="B283" s="18" t="s">
        <v>323</v>
      </c>
      <c r="C283" s="13"/>
      <c r="D283" s="15"/>
      <c r="L283" s="14"/>
    </row>
    <row r="284" spans="2:12">
      <c r="C284" s="14"/>
      <c r="D284" s="14"/>
      <c r="L284" s="14"/>
    </row>
    <row r="285" spans="2:12">
      <c r="B285" s="1" t="s">
        <v>324</v>
      </c>
      <c r="C285" s="15"/>
      <c r="D285" s="15"/>
      <c r="L285" s="14"/>
    </row>
    <row r="286" spans="2:12" ht="15" thickBot="1">
      <c r="B286" s="18" t="s">
        <v>325</v>
      </c>
      <c r="C286" s="13"/>
      <c r="D286" s="15"/>
      <c r="L286" s="14"/>
    </row>
    <row r="287" spans="2:12" ht="15" thickBot="1">
      <c r="B287" s="18" t="s">
        <v>326</v>
      </c>
      <c r="C287" s="13"/>
      <c r="D287" s="15"/>
      <c r="L287" s="14"/>
    </row>
    <row r="288" spans="2:12">
      <c r="C288" s="14"/>
      <c r="D288" s="14"/>
      <c r="L288" s="14"/>
    </row>
    <row r="289" spans="1:16">
      <c r="B289" s="1" t="s">
        <v>327</v>
      </c>
      <c r="C289" s="14"/>
      <c r="D289" s="14"/>
      <c r="L289" s="14"/>
    </row>
    <row r="290" spans="1:16" ht="15" thickBot="1">
      <c r="A290" s="61"/>
      <c r="B290" s="103" t="s">
        <v>328</v>
      </c>
      <c r="C290" s="112">
        <v>113623</v>
      </c>
      <c r="D290" s="66">
        <v>144271.79999999999</v>
      </c>
      <c r="E290" s="313">
        <f t="shared" ref="E290:E291" si="14">D290*1.049</f>
        <v>151341.11819999997</v>
      </c>
      <c r="F290" s="61"/>
      <c r="G290" s="61"/>
      <c r="H290" s="61"/>
      <c r="I290" s="61"/>
      <c r="J290" s="61"/>
      <c r="K290" s="61"/>
      <c r="L290" s="65"/>
      <c r="M290" s="61"/>
      <c r="N290" s="61"/>
    </row>
    <row r="291" spans="1:16" ht="15" thickBot="1">
      <c r="A291" s="61"/>
      <c r="B291" s="103" t="s">
        <v>329</v>
      </c>
      <c r="C291" s="112">
        <v>111438</v>
      </c>
      <c r="D291" s="66">
        <v>141776.98000000001</v>
      </c>
      <c r="E291" s="313">
        <f t="shared" si="14"/>
        <v>148724.05202</v>
      </c>
      <c r="F291" s="61"/>
      <c r="G291" s="61"/>
      <c r="H291" s="61"/>
      <c r="I291" s="61"/>
      <c r="J291" s="61"/>
      <c r="K291" s="61"/>
      <c r="L291" s="65"/>
      <c r="M291" s="61"/>
      <c r="N291" s="61"/>
    </row>
    <row r="292" spans="1:16">
      <c r="A292" s="61"/>
      <c r="B292" s="61"/>
      <c r="C292" s="65"/>
      <c r="D292" s="65"/>
      <c r="E292" s="61"/>
      <c r="F292" s="61"/>
      <c r="G292" s="157"/>
      <c r="H292" s="61"/>
      <c r="I292" s="61"/>
      <c r="J292" s="61"/>
      <c r="K292" s="61"/>
      <c r="L292" s="65"/>
      <c r="M292" s="61"/>
      <c r="N292" s="61"/>
    </row>
    <row r="293" spans="1:16">
      <c r="A293" s="61"/>
      <c r="B293" s="61"/>
      <c r="C293" s="65"/>
      <c r="D293" s="65"/>
      <c r="E293" s="61"/>
      <c r="F293" s="61"/>
      <c r="G293" s="157"/>
      <c r="H293" s="61"/>
      <c r="I293" s="61"/>
      <c r="J293" s="61"/>
      <c r="K293" s="61"/>
      <c r="L293" s="65"/>
      <c r="M293" s="61"/>
      <c r="N293" s="61"/>
    </row>
    <row r="294" spans="1:16" ht="15" thickBot="1">
      <c r="A294" s="61">
        <v>1</v>
      </c>
      <c r="B294" s="118" t="s">
        <v>23</v>
      </c>
      <c r="C294" s="112" t="s">
        <v>32</v>
      </c>
      <c r="D294" s="66" t="s">
        <v>9</v>
      </c>
      <c r="F294" s="61">
        <v>60</v>
      </c>
      <c r="G294" s="118" t="s">
        <v>24</v>
      </c>
      <c r="H294" s="112" t="s">
        <v>32</v>
      </c>
      <c r="I294" s="66" t="s">
        <v>9</v>
      </c>
      <c r="J294" s="313"/>
      <c r="K294" s="125">
        <v>130</v>
      </c>
      <c r="L294" s="125"/>
      <c r="M294" s="61" t="s">
        <v>277</v>
      </c>
      <c r="N294" s="112" t="s">
        <v>32</v>
      </c>
      <c r="O294" s="198" t="s">
        <v>32</v>
      </c>
      <c r="P294" s="313"/>
    </row>
    <row r="295" spans="1:16" ht="15" thickBot="1">
      <c r="A295" s="61">
        <v>2</v>
      </c>
      <c r="B295" s="118" t="s">
        <v>26</v>
      </c>
      <c r="C295" s="112" t="s">
        <v>32</v>
      </c>
      <c r="D295" s="66" t="s">
        <v>9</v>
      </c>
      <c r="F295" s="61">
        <v>61</v>
      </c>
      <c r="G295" s="118" t="s">
        <v>30</v>
      </c>
      <c r="H295" s="112" t="s">
        <v>32</v>
      </c>
      <c r="I295" s="66" t="s">
        <v>9</v>
      </c>
      <c r="J295" s="313"/>
      <c r="K295" s="125">
        <v>131</v>
      </c>
      <c r="L295" s="125"/>
      <c r="M295" s="61" t="s">
        <v>280</v>
      </c>
      <c r="N295" s="112" t="s">
        <v>32</v>
      </c>
      <c r="O295" s="198" t="s">
        <v>32</v>
      </c>
      <c r="P295" s="313"/>
    </row>
    <row r="296" spans="1:16" ht="15" thickBot="1">
      <c r="A296" s="61">
        <v>3</v>
      </c>
      <c r="B296" s="118" t="s">
        <v>29</v>
      </c>
      <c r="C296" s="112" t="s">
        <v>32</v>
      </c>
      <c r="D296" s="66" t="s">
        <v>9</v>
      </c>
      <c r="F296" s="61">
        <v>62</v>
      </c>
      <c r="G296" s="118" t="s">
        <v>35</v>
      </c>
      <c r="H296" s="112" t="s">
        <v>32</v>
      </c>
      <c r="I296" s="66" t="s">
        <v>9</v>
      </c>
      <c r="J296" s="313"/>
      <c r="K296" s="125">
        <v>132</v>
      </c>
      <c r="L296" s="125"/>
      <c r="M296" s="61" t="s">
        <v>330</v>
      </c>
      <c r="N296" s="112">
        <v>2695</v>
      </c>
      <c r="O296" s="198">
        <f t="shared" ref="O296:O311" si="15">N296*1.1839</f>
        <v>3190.6104999999998</v>
      </c>
      <c r="P296" s="313">
        <f t="shared" ref="P296:P311" si="16">O296*1.049</f>
        <v>3346.9504144999996</v>
      </c>
    </row>
    <row r="297" spans="1:16" ht="15" thickBot="1">
      <c r="A297" s="61">
        <v>4</v>
      </c>
      <c r="B297" s="118" t="s">
        <v>34</v>
      </c>
      <c r="C297" s="112" t="s">
        <v>32</v>
      </c>
      <c r="D297" s="66" t="s">
        <v>9</v>
      </c>
      <c r="F297" s="61">
        <v>63</v>
      </c>
      <c r="G297" s="118" t="s">
        <v>42</v>
      </c>
      <c r="H297" s="112">
        <v>184</v>
      </c>
      <c r="I297" s="66">
        <f>SUM(H297*1.1839)</f>
        <v>217.83759999999998</v>
      </c>
      <c r="J297" s="313">
        <f t="shared" ref="J297:J357" si="17">I297*1.049</f>
        <v>228.51164239999997</v>
      </c>
      <c r="K297" s="61">
        <v>133</v>
      </c>
      <c r="L297" s="61"/>
      <c r="M297" s="118" t="s">
        <v>353</v>
      </c>
      <c r="N297" s="112">
        <v>936</v>
      </c>
      <c r="O297" s="198">
        <f t="shared" si="15"/>
        <v>1108.1304</v>
      </c>
      <c r="P297" s="313">
        <f t="shared" si="16"/>
        <v>1162.4287895999998</v>
      </c>
    </row>
    <row r="298" spans="1:16" ht="15" thickBot="1">
      <c r="A298" s="61">
        <v>5</v>
      </c>
      <c r="B298" s="118" t="s">
        <v>37</v>
      </c>
      <c r="C298" s="112" t="s">
        <v>32</v>
      </c>
      <c r="D298" s="66" t="s">
        <v>9</v>
      </c>
      <c r="F298" s="61">
        <v>64</v>
      </c>
      <c r="G298" s="118" t="s">
        <v>44</v>
      </c>
      <c r="H298" s="112" t="s">
        <v>32</v>
      </c>
      <c r="I298" s="66" t="s">
        <v>9</v>
      </c>
      <c r="J298" s="313"/>
      <c r="K298" s="61">
        <v>134</v>
      </c>
      <c r="L298" s="61"/>
      <c r="M298" s="165" t="s">
        <v>36</v>
      </c>
      <c r="N298" s="112">
        <v>311</v>
      </c>
      <c r="O298" s="198">
        <f t="shared" si="15"/>
        <v>368.19290000000001</v>
      </c>
      <c r="P298" s="313">
        <f t="shared" si="16"/>
        <v>386.23435209999997</v>
      </c>
    </row>
    <row r="299" spans="1:16" ht="15" thickBot="1">
      <c r="A299" s="61">
        <v>6</v>
      </c>
      <c r="B299" s="118" t="s">
        <v>39</v>
      </c>
      <c r="C299" s="112" t="s">
        <v>32</v>
      </c>
      <c r="D299" s="66" t="s">
        <v>9</v>
      </c>
      <c r="F299" s="61">
        <v>65</v>
      </c>
      <c r="G299" s="118" t="s">
        <v>46</v>
      </c>
      <c r="H299" s="112">
        <v>473</v>
      </c>
      <c r="I299" s="66">
        <f>SUM(H299*1.1839)</f>
        <v>559.98469999999998</v>
      </c>
      <c r="J299" s="313">
        <f t="shared" si="17"/>
        <v>587.42395029999989</v>
      </c>
      <c r="K299" s="125">
        <v>135</v>
      </c>
      <c r="L299" s="125"/>
      <c r="M299" s="61" t="s">
        <v>354</v>
      </c>
      <c r="N299" s="112">
        <v>2776</v>
      </c>
      <c r="O299" s="198">
        <f t="shared" si="15"/>
        <v>3286.5063999999998</v>
      </c>
      <c r="P299" s="313">
        <f t="shared" si="16"/>
        <v>3447.5452135999994</v>
      </c>
    </row>
    <row r="300" spans="1:16" ht="15" thickBot="1">
      <c r="A300" s="61">
        <v>7</v>
      </c>
      <c r="B300" s="118" t="s">
        <v>41</v>
      </c>
      <c r="C300" s="112" t="s">
        <v>32</v>
      </c>
      <c r="D300" s="66" t="s">
        <v>9</v>
      </c>
      <c r="F300" s="61">
        <v>66</v>
      </c>
      <c r="G300" s="118" t="s">
        <v>48</v>
      </c>
      <c r="H300" s="112" t="s">
        <v>32</v>
      </c>
      <c r="I300" s="66" t="s">
        <v>9</v>
      </c>
      <c r="J300" s="313"/>
      <c r="K300" s="125">
        <v>136</v>
      </c>
      <c r="L300" s="125"/>
      <c r="M300" s="61" t="s">
        <v>355</v>
      </c>
      <c r="N300" s="119">
        <v>4355</v>
      </c>
      <c r="O300" s="198">
        <f t="shared" si="15"/>
        <v>5155.8845000000001</v>
      </c>
      <c r="P300" s="313">
        <f t="shared" si="16"/>
        <v>5408.5228404999998</v>
      </c>
    </row>
    <row r="301" spans="1:16" ht="15" thickBot="1">
      <c r="A301" s="61">
        <v>8</v>
      </c>
      <c r="B301" s="118" t="s">
        <v>43</v>
      </c>
      <c r="C301" s="112" t="s">
        <v>32</v>
      </c>
      <c r="D301" s="66" t="s">
        <v>9</v>
      </c>
      <c r="F301" s="61">
        <v>67</v>
      </c>
      <c r="G301" s="118" t="s">
        <v>50</v>
      </c>
      <c r="H301" s="112">
        <v>382</v>
      </c>
      <c r="I301" s="66">
        <f t="shared" ref="I301:I363" si="18">SUM(H301*1.1839)</f>
        <v>452.24979999999999</v>
      </c>
      <c r="J301" s="313">
        <f t="shared" si="17"/>
        <v>474.41004019999997</v>
      </c>
      <c r="K301" s="125">
        <v>137</v>
      </c>
      <c r="L301" s="125"/>
      <c r="M301" s="61" t="s">
        <v>356</v>
      </c>
      <c r="N301" s="119">
        <v>6649</v>
      </c>
      <c r="O301" s="198">
        <f t="shared" si="15"/>
        <v>7871.7510999999995</v>
      </c>
      <c r="P301" s="313">
        <f t="shared" si="16"/>
        <v>8257.4669038999982</v>
      </c>
    </row>
    <row r="302" spans="1:16" ht="15" thickBot="1">
      <c r="A302" s="61">
        <v>9</v>
      </c>
      <c r="B302" s="118" t="s">
        <v>45</v>
      </c>
      <c r="C302" s="112">
        <v>-601</v>
      </c>
      <c r="D302" s="66">
        <f>SUM(C302*1.1839)</f>
        <v>-711.52390000000003</v>
      </c>
      <c r="E302" s="313">
        <f t="shared" ref="E302" si="19">D302*1.049</f>
        <v>-746.38857110000004</v>
      </c>
      <c r="F302" s="61">
        <v>68</v>
      </c>
      <c r="G302" s="118" t="s">
        <v>52</v>
      </c>
      <c r="H302" s="112">
        <v>798</v>
      </c>
      <c r="I302" s="66">
        <f t="shared" si="18"/>
        <v>944.75220000000002</v>
      </c>
      <c r="J302" s="313">
        <f t="shared" si="17"/>
        <v>991.0450578</v>
      </c>
      <c r="K302" s="125">
        <v>138</v>
      </c>
      <c r="L302" s="125"/>
      <c r="M302" s="61" t="s">
        <v>357</v>
      </c>
      <c r="N302" s="119">
        <v>521</v>
      </c>
      <c r="O302" s="198">
        <f t="shared" si="15"/>
        <v>616.81189999999992</v>
      </c>
      <c r="P302" s="313">
        <f t="shared" si="16"/>
        <v>647.03568309999991</v>
      </c>
    </row>
    <row r="303" spans="1:16" ht="15" thickBot="1">
      <c r="A303" s="61">
        <v>10</v>
      </c>
      <c r="B303" s="118" t="s">
        <v>47</v>
      </c>
      <c r="C303" s="112" t="s">
        <v>32</v>
      </c>
      <c r="D303" s="66" t="s">
        <v>9</v>
      </c>
      <c r="F303" s="61">
        <v>69</v>
      </c>
      <c r="G303" s="118" t="s">
        <v>54</v>
      </c>
      <c r="H303" s="112" t="s">
        <v>192</v>
      </c>
      <c r="I303" s="66" t="s">
        <v>57</v>
      </c>
      <c r="J303" s="313"/>
      <c r="K303" s="125">
        <v>139</v>
      </c>
      <c r="L303" s="125"/>
      <c r="M303" s="61" t="s">
        <v>358</v>
      </c>
      <c r="N303" s="119">
        <v>381</v>
      </c>
      <c r="O303" s="198">
        <f t="shared" si="15"/>
        <v>451.0659</v>
      </c>
      <c r="P303" s="313">
        <f t="shared" si="16"/>
        <v>473.16812909999999</v>
      </c>
    </row>
    <row r="304" spans="1:16" ht="15" thickBot="1">
      <c r="A304" s="61">
        <v>11</v>
      </c>
      <c r="B304" s="61" t="s">
        <v>359</v>
      </c>
      <c r="C304" s="112" t="s">
        <v>32</v>
      </c>
      <c r="D304" s="66" t="s">
        <v>9</v>
      </c>
      <c r="F304" s="61">
        <v>70</v>
      </c>
      <c r="G304" s="118" t="s">
        <v>56</v>
      </c>
      <c r="H304" s="112" t="s">
        <v>192</v>
      </c>
      <c r="I304" s="66" t="s">
        <v>57</v>
      </c>
      <c r="J304" s="313"/>
      <c r="K304" s="125">
        <v>140</v>
      </c>
      <c r="L304" s="125"/>
      <c r="M304" s="61" t="s">
        <v>360</v>
      </c>
      <c r="N304" s="119">
        <v>561</v>
      </c>
      <c r="O304" s="198">
        <f t="shared" si="15"/>
        <v>664.16789999999992</v>
      </c>
      <c r="P304" s="313">
        <f t="shared" si="16"/>
        <v>696.71212709999986</v>
      </c>
    </row>
    <row r="305" spans="1:16" ht="15" thickBot="1">
      <c r="A305" s="61">
        <v>12</v>
      </c>
      <c r="B305" s="118" t="s">
        <v>51</v>
      </c>
      <c r="C305" s="112" t="s">
        <v>32</v>
      </c>
      <c r="D305" s="66" t="s">
        <v>9</v>
      </c>
      <c r="F305" s="61">
        <v>71</v>
      </c>
      <c r="G305" s="118" t="s">
        <v>59</v>
      </c>
      <c r="H305" s="112">
        <v>478</v>
      </c>
      <c r="I305" s="66">
        <f t="shared" si="18"/>
        <v>565.90419999999995</v>
      </c>
      <c r="J305" s="313">
        <f t="shared" si="17"/>
        <v>593.63350579999985</v>
      </c>
      <c r="K305" s="125">
        <v>141</v>
      </c>
      <c r="L305" s="125"/>
      <c r="M305" s="61" t="s">
        <v>361</v>
      </c>
      <c r="N305" s="119">
        <v>91</v>
      </c>
      <c r="O305" s="198">
        <f t="shared" si="15"/>
        <v>107.7349</v>
      </c>
      <c r="P305" s="313">
        <f t="shared" si="16"/>
        <v>113.01391009999999</v>
      </c>
    </row>
    <row r="306" spans="1:16" ht="15" thickBot="1">
      <c r="A306" s="61">
        <v>13</v>
      </c>
      <c r="B306" s="118" t="s">
        <v>362</v>
      </c>
      <c r="C306" s="112" t="s">
        <v>32</v>
      </c>
      <c r="D306" s="66" t="s">
        <v>9</v>
      </c>
      <c r="F306" s="61">
        <v>72</v>
      </c>
      <c r="G306" s="118" t="s">
        <v>61</v>
      </c>
      <c r="H306" s="112" t="s">
        <v>32</v>
      </c>
      <c r="I306" s="66" t="s">
        <v>9</v>
      </c>
      <c r="J306" s="313"/>
      <c r="K306" s="125">
        <v>142</v>
      </c>
      <c r="L306" s="125"/>
      <c r="M306" s="61" t="s">
        <v>363</v>
      </c>
      <c r="N306" s="119">
        <v>779</v>
      </c>
      <c r="O306" s="198">
        <f t="shared" si="15"/>
        <v>922.25810000000001</v>
      </c>
      <c r="P306" s="313">
        <f t="shared" si="16"/>
        <v>967.44874689999995</v>
      </c>
    </row>
    <row r="307" spans="1:16" ht="15" thickBot="1">
      <c r="A307" s="61">
        <v>14</v>
      </c>
      <c r="B307" s="118" t="s">
        <v>55</v>
      </c>
      <c r="C307" s="112" t="s">
        <v>32</v>
      </c>
      <c r="D307" s="66" t="s">
        <v>9</v>
      </c>
      <c r="F307" s="61">
        <v>73</v>
      </c>
      <c r="G307" s="118" t="s">
        <v>63</v>
      </c>
      <c r="H307" s="112" t="s">
        <v>32</v>
      </c>
      <c r="I307" s="66" t="s">
        <v>9</v>
      </c>
      <c r="J307" s="313"/>
      <c r="K307" s="125">
        <v>143</v>
      </c>
      <c r="L307" s="125"/>
      <c r="M307" s="61" t="s">
        <v>364</v>
      </c>
      <c r="N307" s="119">
        <v>3215</v>
      </c>
      <c r="O307" s="198">
        <f t="shared" si="15"/>
        <v>3806.2384999999999</v>
      </c>
      <c r="P307" s="313">
        <f t="shared" si="16"/>
        <v>3992.7441864999996</v>
      </c>
    </row>
    <row r="308" spans="1:16" ht="15" thickBot="1">
      <c r="A308" s="61">
        <v>15</v>
      </c>
      <c r="B308" s="118" t="s">
        <v>334</v>
      </c>
      <c r="C308" s="112" t="s">
        <v>192</v>
      </c>
      <c r="D308" s="66" t="s">
        <v>57</v>
      </c>
      <c r="F308" s="61">
        <v>74</v>
      </c>
      <c r="G308" s="118" t="s">
        <v>65</v>
      </c>
      <c r="H308" s="112" t="s">
        <v>32</v>
      </c>
      <c r="I308" s="66" t="s">
        <v>9</v>
      </c>
      <c r="J308" s="313"/>
      <c r="K308" s="125">
        <v>144</v>
      </c>
      <c r="L308" s="125"/>
      <c r="M308" s="61" t="s">
        <v>186</v>
      </c>
      <c r="N308" s="119">
        <v>2467</v>
      </c>
      <c r="O308" s="198">
        <f t="shared" si="15"/>
        <v>2920.6812999999997</v>
      </c>
      <c r="P308" s="313">
        <f t="shared" si="16"/>
        <v>3063.7946836999995</v>
      </c>
    </row>
    <row r="309" spans="1:16" ht="15" thickBot="1">
      <c r="A309" s="61">
        <v>16</v>
      </c>
      <c r="B309" s="118" t="s">
        <v>60</v>
      </c>
      <c r="C309" s="112">
        <v>74</v>
      </c>
      <c r="D309" s="66">
        <f t="shared" ref="D309:D337" si="20">SUM(C309*1.1839)</f>
        <v>87.608599999999996</v>
      </c>
      <c r="E309" s="313">
        <f t="shared" ref="E309:E337" si="21">D309*1.049</f>
        <v>91.90142139999999</v>
      </c>
      <c r="F309" s="61">
        <v>75</v>
      </c>
      <c r="G309" s="118" t="s">
        <v>67</v>
      </c>
      <c r="H309" s="112" t="s">
        <v>32</v>
      </c>
      <c r="I309" s="66" t="s">
        <v>9</v>
      </c>
      <c r="J309" s="313"/>
      <c r="K309" s="125">
        <v>145</v>
      </c>
      <c r="L309" s="125"/>
      <c r="M309" s="61" t="s">
        <v>185</v>
      </c>
      <c r="N309" s="119">
        <v>215</v>
      </c>
      <c r="O309" s="198">
        <f t="shared" si="15"/>
        <v>254.5385</v>
      </c>
      <c r="P309" s="313">
        <f t="shared" si="16"/>
        <v>267.01088649999997</v>
      </c>
    </row>
    <row r="310" spans="1:16" ht="15" thickBot="1">
      <c r="A310" s="61">
        <v>17</v>
      </c>
      <c r="B310" s="61" t="s">
        <v>62</v>
      </c>
      <c r="C310" s="112">
        <v>39</v>
      </c>
      <c r="D310" s="66">
        <f t="shared" si="20"/>
        <v>46.1721</v>
      </c>
      <c r="E310" s="313">
        <f t="shared" si="21"/>
        <v>48.434532900000001</v>
      </c>
      <c r="F310" s="61">
        <v>76</v>
      </c>
      <c r="G310" s="118" t="s">
        <v>69</v>
      </c>
      <c r="H310" s="112" t="s">
        <v>32</v>
      </c>
      <c r="I310" s="66" t="s">
        <v>9</v>
      </c>
      <c r="J310" s="313"/>
      <c r="K310" s="125">
        <v>146</v>
      </c>
      <c r="L310" s="125"/>
      <c r="M310" s="61" t="s">
        <v>194</v>
      </c>
      <c r="N310" s="119">
        <v>29</v>
      </c>
      <c r="O310" s="198">
        <f t="shared" si="15"/>
        <v>34.333100000000002</v>
      </c>
      <c r="P310" s="313">
        <f t="shared" si="16"/>
        <v>36.0154219</v>
      </c>
    </row>
    <row r="311" spans="1:16" ht="15" thickBot="1">
      <c r="A311" s="61">
        <v>18</v>
      </c>
      <c r="B311" s="61" t="s">
        <v>64</v>
      </c>
      <c r="C311" s="112">
        <v>51</v>
      </c>
      <c r="D311" s="66">
        <f t="shared" si="20"/>
        <v>60.378899999999994</v>
      </c>
      <c r="E311" s="313">
        <f t="shared" si="21"/>
        <v>63.337466099999993</v>
      </c>
      <c r="F311" s="61">
        <v>77</v>
      </c>
      <c r="G311" s="118" t="s">
        <v>71</v>
      </c>
      <c r="H311" s="112">
        <v>602</v>
      </c>
      <c r="I311" s="66">
        <f t="shared" si="18"/>
        <v>712.70780000000002</v>
      </c>
      <c r="J311" s="313">
        <f t="shared" si="17"/>
        <v>747.63048219999996</v>
      </c>
      <c r="K311" s="125">
        <v>147</v>
      </c>
      <c r="L311" s="125"/>
      <c r="M311" s="61" t="s">
        <v>195</v>
      </c>
      <c r="N311" s="119">
        <v>35</v>
      </c>
      <c r="O311" s="198">
        <f t="shared" si="15"/>
        <v>41.436499999999995</v>
      </c>
      <c r="P311" s="313">
        <f t="shared" si="16"/>
        <v>43.466888499999989</v>
      </c>
    </row>
    <row r="312" spans="1:16" ht="15" thickBot="1">
      <c r="A312" s="61">
        <v>19</v>
      </c>
      <c r="B312" s="61" t="s">
        <v>66</v>
      </c>
      <c r="C312" s="112">
        <v>88</v>
      </c>
      <c r="D312" s="66">
        <f t="shared" si="20"/>
        <v>104.1832</v>
      </c>
      <c r="E312" s="313">
        <f t="shared" si="21"/>
        <v>109.28817679999999</v>
      </c>
      <c r="F312" s="61">
        <v>78</v>
      </c>
      <c r="G312" s="118" t="s">
        <v>73</v>
      </c>
      <c r="H312" s="112" t="s">
        <v>32</v>
      </c>
      <c r="I312" s="66" t="s">
        <v>9</v>
      </c>
      <c r="J312" s="313"/>
      <c r="K312" s="61"/>
      <c r="L312" s="61"/>
      <c r="M312" s="65"/>
      <c r="N312" s="61"/>
      <c r="O312" s="61"/>
    </row>
    <row r="313" spans="1:16" ht="15" thickBot="1">
      <c r="A313" s="61">
        <v>20</v>
      </c>
      <c r="B313" s="61" t="s">
        <v>68</v>
      </c>
      <c r="C313" s="112">
        <v>199</v>
      </c>
      <c r="D313" s="66">
        <f t="shared" si="20"/>
        <v>235.59609999999998</v>
      </c>
      <c r="E313" s="313">
        <f t="shared" si="21"/>
        <v>247.14030889999995</v>
      </c>
      <c r="F313" s="61">
        <v>79</v>
      </c>
      <c r="G313" s="118" t="s">
        <v>75</v>
      </c>
      <c r="H313" s="112" t="s">
        <v>32</v>
      </c>
      <c r="I313" s="66" t="s">
        <v>9</v>
      </c>
      <c r="J313" s="313"/>
      <c r="K313" s="61"/>
      <c r="L313" s="61"/>
      <c r="M313" s="65"/>
      <c r="N313" s="61"/>
      <c r="O313" s="61"/>
    </row>
    <row r="314" spans="1:16" ht="15" thickBot="1">
      <c r="A314" s="61">
        <v>21</v>
      </c>
      <c r="B314" s="61" t="s">
        <v>70</v>
      </c>
      <c r="C314" s="112">
        <v>118</v>
      </c>
      <c r="D314" s="66">
        <f t="shared" si="20"/>
        <v>139.7002</v>
      </c>
      <c r="E314" s="313">
        <f t="shared" si="21"/>
        <v>146.54550979999999</v>
      </c>
      <c r="F314" s="61">
        <v>80</v>
      </c>
      <c r="G314" s="118" t="s">
        <v>78</v>
      </c>
      <c r="H314" s="112">
        <v>1377</v>
      </c>
      <c r="I314" s="66">
        <f t="shared" si="18"/>
        <v>1630.2302999999999</v>
      </c>
      <c r="J314" s="313">
        <f t="shared" si="17"/>
        <v>1710.1115846999999</v>
      </c>
      <c r="K314" s="61"/>
      <c r="L314" s="61"/>
      <c r="M314" s="65"/>
      <c r="N314" s="61"/>
      <c r="O314" s="61"/>
    </row>
    <row r="315" spans="1:16" ht="15" thickBot="1">
      <c r="A315" s="61">
        <v>22</v>
      </c>
      <c r="B315" s="61" t="s">
        <v>72</v>
      </c>
      <c r="C315" s="112">
        <v>72</v>
      </c>
      <c r="D315" s="66">
        <f t="shared" si="20"/>
        <v>85.240799999999993</v>
      </c>
      <c r="E315" s="313">
        <f t="shared" si="21"/>
        <v>89.417599199999984</v>
      </c>
      <c r="F315" s="61">
        <v>81</v>
      </c>
      <c r="G315" s="118" t="s">
        <v>80</v>
      </c>
      <c r="H315" s="112" t="s">
        <v>32</v>
      </c>
      <c r="I315" s="66" t="s">
        <v>9</v>
      </c>
      <c r="J315" s="313"/>
      <c r="K315" s="61"/>
      <c r="L315" s="61"/>
      <c r="M315" s="65"/>
      <c r="N315" s="61"/>
      <c r="O315" s="61"/>
    </row>
    <row r="316" spans="1:16" ht="15" thickBot="1">
      <c r="A316" s="61">
        <v>23</v>
      </c>
      <c r="B316" s="61" t="s">
        <v>74</v>
      </c>
      <c r="C316" s="112">
        <v>64</v>
      </c>
      <c r="D316" s="66">
        <f t="shared" si="20"/>
        <v>75.769599999999997</v>
      </c>
      <c r="E316" s="313">
        <f t="shared" si="21"/>
        <v>79.482310399999989</v>
      </c>
      <c r="F316" s="61">
        <v>82</v>
      </c>
      <c r="G316" s="118" t="s">
        <v>82</v>
      </c>
      <c r="H316" s="112" t="s">
        <v>32</v>
      </c>
      <c r="I316" s="66" t="s">
        <v>9</v>
      </c>
      <c r="J316" s="313"/>
      <c r="K316" s="61"/>
      <c r="L316" s="61"/>
      <c r="M316" s="65"/>
      <c r="N316" s="61"/>
      <c r="O316" s="61"/>
    </row>
    <row r="317" spans="1:16" ht="15" thickBot="1">
      <c r="A317" s="61">
        <v>24</v>
      </c>
      <c r="B317" s="61" t="s">
        <v>76</v>
      </c>
      <c r="C317" s="112">
        <v>1035</v>
      </c>
      <c r="D317" s="66">
        <f t="shared" si="20"/>
        <v>1225.3364999999999</v>
      </c>
      <c r="E317" s="313">
        <f t="shared" si="21"/>
        <v>1285.3779884999999</v>
      </c>
      <c r="F317" s="61">
        <v>83</v>
      </c>
      <c r="G317" s="118" t="s">
        <v>84</v>
      </c>
      <c r="H317" s="112" t="s">
        <v>32</v>
      </c>
      <c r="I317" s="66" t="s">
        <v>9</v>
      </c>
      <c r="J317" s="313"/>
      <c r="K317" s="61"/>
      <c r="L317" s="61"/>
      <c r="M317" s="65"/>
      <c r="N317" s="61"/>
      <c r="O317" s="61"/>
    </row>
    <row r="318" spans="1:16" ht="15" thickBot="1">
      <c r="A318" s="61">
        <v>25</v>
      </c>
      <c r="B318" s="118" t="s">
        <v>83</v>
      </c>
      <c r="C318" s="112" t="s">
        <v>32</v>
      </c>
      <c r="D318" s="66"/>
      <c r="E318" s="313"/>
      <c r="F318" s="61">
        <v>84</v>
      </c>
      <c r="G318" s="118" t="s">
        <v>86</v>
      </c>
      <c r="H318" s="112" t="s">
        <v>32</v>
      </c>
      <c r="I318" s="66" t="s">
        <v>9</v>
      </c>
      <c r="J318" s="313"/>
      <c r="K318" s="61"/>
      <c r="L318" s="61"/>
      <c r="M318" s="65"/>
      <c r="N318" s="61"/>
      <c r="O318" s="61"/>
    </row>
    <row r="319" spans="1:16" ht="15" thickBot="1">
      <c r="A319" s="61">
        <v>26</v>
      </c>
      <c r="B319" s="118" t="s">
        <v>85</v>
      </c>
      <c r="C319" s="112">
        <v>747</v>
      </c>
      <c r="D319" s="66">
        <f t="shared" si="20"/>
        <v>884.37329999999997</v>
      </c>
      <c r="E319" s="313">
        <f t="shared" si="21"/>
        <v>927.70759169999997</v>
      </c>
      <c r="F319" s="61">
        <v>85</v>
      </c>
      <c r="G319" s="118" t="s">
        <v>88</v>
      </c>
      <c r="H319" s="112" t="s">
        <v>32</v>
      </c>
      <c r="I319" s="66" t="s">
        <v>9</v>
      </c>
      <c r="J319" s="313"/>
      <c r="K319" s="61"/>
      <c r="L319" s="61"/>
      <c r="M319" s="65"/>
      <c r="N319" s="61"/>
      <c r="O319" s="61"/>
    </row>
    <row r="320" spans="1:16" ht="15" thickBot="1">
      <c r="A320" s="61">
        <v>27</v>
      </c>
      <c r="B320" s="118" t="s">
        <v>87</v>
      </c>
      <c r="C320" s="112">
        <v>747</v>
      </c>
      <c r="D320" s="66">
        <f t="shared" si="20"/>
        <v>884.37329999999997</v>
      </c>
      <c r="E320" s="313">
        <f t="shared" si="21"/>
        <v>927.70759169999997</v>
      </c>
      <c r="F320" s="61">
        <v>86</v>
      </c>
      <c r="G320" s="61" t="s">
        <v>90</v>
      </c>
      <c r="H320" s="112" t="s">
        <v>32</v>
      </c>
      <c r="I320" s="66" t="s">
        <v>9</v>
      </c>
      <c r="J320" s="313"/>
      <c r="K320" s="61"/>
      <c r="L320" s="61"/>
      <c r="M320" s="65"/>
      <c r="N320" s="61"/>
      <c r="O320" s="61"/>
    </row>
    <row r="321" spans="1:15" ht="15" thickBot="1">
      <c r="A321" s="61">
        <v>28</v>
      </c>
      <c r="B321" s="118" t="s">
        <v>89</v>
      </c>
      <c r="C321" s="112">
        <v>966</v>
      </c>
      <c r="D321" s="66">
        <f t="shared" si="20"/>
        <v>1143.6474000000001</v>
      </c>
      <c r="E321" s="313">
        <f t="shared" si="21"/>
        <v>1199.6861226000001</v>
      </c>
      <c r="F321" s="61">
        <v>87</v>
      </c>
      <c r="G321" s="61" t="s">
        <v>94</v>
      </c>
      <c r="H321" s="112" t="s">
        <v>32</v>
      </c>
      <c r="I321" s="66" t="s">
        <v>9</v>
      </c>
      <c r="J321" s="313"/>
      <c r="K321" s="61"/>
      <c r="L321" s="61"/>
      <c r="M321" s="65"/>
      <c r="N321" s="61"/>
      <c r="O321" s="61"/>
    </row>
    <row r="322" spans="1:15" ht="15" thickBot="1">
      <c r="A322" s="61">
        <v>29</v>
      </c>
      <c r="B322" s="61" t="s">
        <v>91</v>
      </c>
      <c r="C322" s="112">
        <v>-219</v>
      </c>
      <c r="D322" s="66">
        <f t="shared" si="20"/>
        <v>-259.27409999999998</v>
      </c>
      <c r="E322" s="313">
        <f t="shared" si="21"/>
        <v>-271.97853089999995</v>
      </c>
      <c r="F322" s="61">
        <v>88</v>
      </c>
      <c r="G322" s="61" t="s">
        <v>96</v>
      </c>
      <c r="H322" s="112" t="s">
        <v>32</v>
      </c>
      <c r="I322" s="66" t="s">
        <v>9</v>
      </c>
      <c r="J322" s="313"/>
      <c r="K322" s="61"/>
      <c r="L322" s="61"/>
      <c r="M322" s="65"/>
      <c r="N322" s="61"/>
      <c r="O322" s="61"/>
    </row>
    <row r="323" spans="1:15" ht="15" thickBot="1">
      <c r="A323" s="61">
        <v>30</v>
      </c>
      <c r="B323" s="61" t="s">
        <v>93</v>
      </c>
      <c r="C323" s="112">
        <v>-219</v>
      </c>
      <c r="D323" s="66">
        <f t="shared" si="20"/>
        <v>-259.27409999999998</v>
      </c>
      <c r="E323" s="313">
        <f t="shared" si="21"/>
        <v>-271.97853089999995</v>
      </c>
      <c r="F323" s="61">
        <v>89</v>
      </c>
      <c r="G323" s="61" t="s">
        <v>302</v>
      </c>
      <c r="H323" s="112" t="s">
        <v>32</v>
      </c>
      <c r="I323" s="66" t="s">
        <v>9</v>
      </c>
      <c r="J323" s="313"/>
      <c r="K323" s="61"/>
      <c r="L323" s="61"/>
      <c r="M323" s="65"/>
      <c r="N323" s="61"/>
      <c r="O323" s="61"/>
    </row>
    <row r="324" spans="1:15" ht="15" thickBot="1">
      <c r="A324" s="61">
        <v>31</v>
      </c>
      <c r="B324" s="61" t="s">
        <v>95</v>
      </c>
      <c r="C324" s="112">
        <v>1096</v>
      </c>
      <c r="D324" s="66">
        <f t="shared" si="20"/>
        <v>1297.5544</v>
      </c>
      <c r="E324" s="313">
        <f t="shared" si="21"/>
        <v>1361.1345655999999</v>
      </c>
      <c r="F324" s="61">
        <v>90</v>
      </c>
      <c r="G324" s="118" t="s">
        <v>302</v>
      </c>
      <c r="H324" s="112" t="s">
        <v>32</v>
      </c>
      <c r="I324" s="66" t="s">
        <v>9</v>
      </c>
      <c r="J324" s="313"/>
      <c r="K324" s="61"/>
      <c r="L324" s="61"/>
      <c r="M324" s="65"/>
      <c r="N324" s="61"/>
      <c r="O324" s="61"/>
    </row>
    <row r="325" spans="1:15" ht="15" thickBot="1">
      <c r="A325" s="61">
        <v>32</v>
      </c>
      <c r="B325" s="61" t="s">
        <v>97</v>
      </c>
      <c r="C325" s="112">
        <v>2695</v>
      </c>
      <c r="D325" s="66">
        <f t="shared" si="20"/>
        <v>3190.6104999999998</v>
      </c>
      <c r="E325" s="313">
        <f t="shared" si="21"/>
        <v>3346.9504144999996</v>
      </c>
      <c r="F325" s="61">
        <v>91</v>
      </c>
      <c r="G325" s="118" t="s">
        <v>100</v>
      </c>
      <c r="H325" s="112">
        <v>3488</v>
      </c>
      <c r="I325" s="66">
        <f t="shared" si="18"/>
        <v>4129.4431999999997</v>
      </c>
      <c r="J325" s="313">
        <f t="shared" si="17"/>
        <v>4331.7859167999995</v>
      </c>
      <c r="K325" s="61"/>
      <c r="L325" s="61"/>
      <c r="M325" s="65"/>
      <c r="N325" s="61"/>
      <c r="O325" s="61"/>
    </row>
    <row r="326" spans="1:15" ht="15" thickBot="1">
      <c r="A326" s="61">
        <v>33</v>
      </c>
      <c r="B326" s="61" t="s">
        <v>99</v>
      </c>
      <c r="C326" s="112" t="s">
        <v>32</v>
      </c>
      <c r="D326" s="66" t="s">
        <v>9</v>
      </c>
      <c r="E326" s="313"/>
      <c r="F326" s="61">
        <v>92</v>
      </c>
      <c r="G326" s="118" t="s">
        <v>102</v>
      </c>
      <c r="H326" s="112" t="s">
        <v>32</v>
      </c>
      <c r="I326" s="66" t="s">
        <v>9</v>
      </c>
      <c r="J326" s="313"/>
      <c r="K326" s="61"/>
      <c r="L326" s="61"/>
      <c r="M326" s="65"/>
      <c r="N326" s="69"/>
      <c r="O326" s="61"/>
    </row>
    <row r="327" spans="1:15" ht="15" thickBot="1">
      <c r="A327" s="61">
        <v>34</v>
      </c>
      <c r="B327" s="61" t="s">
        <v>101</v>
      </c>
      <c r="C327" s="112" t="s">
        <v>32</v>
      </c>
      <c r="D327" s="66" t="s">
        <v>9</v>
      </c>
      <c r="E327" s="313"/>
      <c r="F327" s="61">
        <v>93</v>
      </c>
      <c r="G327" s="118" t="s">
        <v>104</v>
      </c>
      <c r="H327" s="112" t="s">
        <v>32</v>
      </c>
      <c r="I327" s="66" t="s">
        <v>9</v>
      </c>
      <c r="J327" s="313"/>
      <c r="K327" s="61"/>
      <c r="L327" s="61"/>
      <c r="M327" s="65"/>
      <c r="N327" s="69"/>
      <c r="O327" s="61"/>
    </row>
    <row r="328" spans="1:15" ht="15" thickBot="1">
      <c r="A328" s="61">
        <v>35</v>
      </c>
      <c r="B328" s="61" t="s">
        <v>103</v>
      </c>
      <c r="C328" s="112" t="s">
        <v>32</v>
      </c>
      <c r="D328" s="66" t="s">
        <v>9</v>
      </c>
      <c r="E328" s="313"/>
      <c r="F328" s="61">
        <v>94</v>
      </c>
      <c r="G328" s="61" t="s">
        <v>106</v>
      </c>
      <c r="H328" s="119">
        <v>5124</v>
      </c>
      <c r="I328" s="66">
        <f t="shared" si="18"/>
        <v>6066.3036000000002</v>
      </c>
      <c r="J328" s="313">
        <f t="shared" si="17"/>
        <v>6363.5524764000002</v>
      </c>
      <c r="K328" s="61"/>
      <c r="L328" s="61"/>
      <c r="M328" s="65"/>
      <c r="N328" s="69"/>
      <c r="O328" s="61"/>
    </row>
    <row r="329" spans="1:15" ht="15" thickBot="1">
      <c r="A329" s="61">
        <v>36</v>
      </c>
      <c r="B329" s="61" t="s">
        <v>105</v>
      </c>
      <c r="C329" s="112" t="s">
        <v>32</v>
      </c>
      <c r="D329" s="66" t="s">
        <v>9</v>
      </c>
      <c r="E329" s="313"/>
      <c r="F329" s="61">
        <v>95</v>
      </c>
      <c r="G329" s="118" t="s">
        <v>108</v>
      </c>
      <c r="H329" s="119" t="s">
        <v>192</v>
      </c>
      <c r="I329" s="66" t="s">
        <v>57</v>
      </c>
      <c r="J329" s="313"/>
      <c r="K329" s="61"/>
      <c r="L329" s="61"/>
      <c r="M329" s="65"/>
      <c r="N329" s="69"/>
      <c r="O329" s="61"/>
    </row>
    <row r="330" spans="1:15" ht="15" thickBot="1">
      <c r="A330" s="61">
        <v>37</v>
      </c>
      <c r="B330" s="61" t="s">
        <v>107</v>
      </c>
      <c r="C330" s="112" t="s">
        <v>32</v>
      </c>
      <c r="D330" s="66" t="s">
        <v>9</v>
      </c>
      <c r="E330" s="313"/>
      <c r="F330" s="61">
        <v>96</v>
      </c>
      <c r="G330" s="118" t="s">
        <v>110</v>
      </c>
      <c r="H330" s="119">
        <v>909</v>
      </c>
      <c r="I330" s="66">
        <f t="shared" si="18"/>
        <v>1076.1650999999999</v>
      </c>
      <c r="J330" s="313">
        <f t="shared" si="17"/>
        <v>1128.8971898999998</v>
      </c>
      <c r="K330" s="61"/>
      <c r="L330" s="61"/>
      <c r="M330" s="65"/>
      <c r="N330" s="70"/>
      <c r="O330" s="61"/>
    </row>
    <row r="331" spans="1:15" ht="15" thickBot="1">
      <c r="A331" s="61">
        <v>38</v>
      </c>
      <c r="B331" s="118" t="s">
        <v>115</v>
      </c>
      <c r="C331" s="112" t="s">
        <v>32</v>
      </c>
      <c r="D331" s="66" t="s">
        <v>9</v>
      </c>
      <c r="E331" s="313"/>
      <c r="F331" s="61">
        <v>97</v>
      </c>
      <c r="G331" s="118" t="s">
        <v>112</v>
      </c>
      <c r="H331" s="119">
        <v>1249</v>
      </c>
      <c r="I331" s="66">
        <f t="shared" si="18"/>
        <v>1478.6911</v>
      </c>
      <c r="J331" s="313">
        <f t="shared" si="17"/>
        <v>1551.1469638999999</v>
      </c>
      <c r="K331" s="61"/>
      <c r="L331" s="61"/>
      <c r="M331" s="65"/>
      <c r="N331" s="70"/>
      <c r="O331" s="61"/>
    </row>
    <row r="332" spans="1:15" ht="15" thickBot="1">
      <c r="A332" s="61">
        <v>39</v>
      </c>
      <c r="B332" s="118" t="s">
        <v>117</v>
      </c>
      <c r="C332" s="112" t="s">
        <v>192</v>
      </c>
      <c r="D332" s="66" t="s">
        <v>57</v>
      </c>
      <c r="E332" s="313"/>
      <c r="F332" s="61">
        <v>98</v>
      </c>
      <c r="G332" s="61" t="s">
        <v>114</v>
      </c>
      <c r="H332" s="119">
        <v>4422</v>
      </c>
      <c r="I332" s="66">
        <f t="shared" si="18"/>
        <v>5235.2057999999997</v>
      </c>
      <c r="J332" s="313">
        <f t="shared" si="17"/>
        <v>5491.7308841999993</v>
      </c>
      <c r="K332" s="61"/>
      <c r="L332" s="61"/>
      <c r="M332" s="65"/>
      <c r="N332" s="69"/>
      <c r="O332" s="61"/>
    </row>
    <row r="333" spans="1:15" ht="15" thickBot="1">
      <c r="A333" s="61">
        <v>40</v>
      </c>
      <c r="B333" s="61" t="s">
        <v>119</v>
      </c>
      <c r="C333" s="112" t="s">
        <v>32</v>
      </c>
      <c r="D333" s="66" t="s">
        <v>9</v>
      </c>
      <c r="E333" s="313"/>
      <c r="F333" s="61">
        <v>99</v>
      </c>
      <c r="G333" s="61" t="s">
        <v>116</v>
      </c>
      <c r="H333" s="119">
        <v>6330</v>
      </c>
      <c r="I333" s="66">
        <f t="shared" si="18"/>
        <v>7494.0869999999995</v>
      </c>
      <c r="J333" s="313">
        <f t="shared" si="17"/>
        <v>7861.2972629999986</v>
      </c>
      <c r="K333" s="61"/>
      <c r="L333" s="61"/>
      <c r="M333" s="65"/>
      <c r="N333" s="61"/>
      <c r="O333" s="61"/>
    </row>
    <row r="334" spans="1:15" ht="15" thickBot="1">
      <c r="A334" s="61">
        <v>41</v>
      </c>
      <c r="B334" s="61" t="s">
        <v>121</v>
      </c>
      <c r="C334" s="112" t="s">
        <v>32</v>
      </c>
      <c r="D334" s="66" t="s">
        <v>9</v>
      </c>
      <c r="E334" s="313"/>
      <c r="F334" s="61">
        <v>100</v>
      </c>
      <c r="G334" s="61" t="s">
        <v>118</v>
      </c>
      <c r="H334" s="119">
        <v>8011</v>
      </c>
      <c r="I334" s="66">
        <f t="shared" si="18"/>
        <v>9484.2228999999988</v>
      </c>
      <c r="J334" s="313">
        <f t="shared" si="17"/>
        <v>9948.9498220999976</v>
      </c>
      <c r="K334" s="61"/>
      <c r="L334" s="61"/>
      <c r="M334" s="65"/>
      <c r="N334" s="61"/>
      <c r="O334" s="61"/>
    </row>
    <row r="335" spans="1:15" ht="15" thickBot="1">
      <c r="A335" s="61">
        <v>42</v>
      </c>
      <c r="B335" s="61" t="s">
        <v>123</v>
      </c>
      <c r="C335" s="112">
        <v>404</v>
      </c>
      <c r="D335" s="66">
        <f t="shared" si="20"/>
        <v>478.29559999999998</v>
      </c>
      <c r="E335" s="313">
        <f t="shared" si="21"/>
        <v>501.73208439999996</v>
      </c>
      <c r="F335" s="61">
        <v>101</v>
      </c>
      <c r="G335" s="61" t="s">
        <v>120</v>
      </c>
      <c r="H335" s="119">
        <v>2478</v>
      </c>
      <c r="I335" s="66">
        <f t="shared" si="18"/>
        <v>2933.7041999999997</v>
      </c>
      <c r="J335" s="313">
        <f t="shared" si="17"/>
        <v>3077.4557057999996</v>
      </c>
      <c r="K335" s="61"/>
      <c r="L335" s="61"/>
      <c r="M335" s="65"/>
      <c r="N335" s="61"/>
      <c r="O335" s="61"/>
    </row>
    <row r="336" spans="1:15" ht="15" thickBot="1">
      <c r="A336" s="61">
        <v>43</v>
      </c>
      <c r="B336" s="61" t="s">
        <v>125</v>
      </c>
      <c r="C336" s="112">
        <v>699</v>
      </c>
      <c r="D336" s="66">
        <f t="shared" si="20"/>
        <v>827.54609999999991</v>
      </c>
      <c r="E336" s="313">
        <f t="shared" si="21"/>
        <v>868.09585889999983</v>
      </c>
      <c r="F336" s="61">
        <v>102</v>
      </c>
      <c r="G336" s="61" t="s">
        <v>122</v>
      </c>
      <c r="H336" s="119">
        <v>3803</v>
      </c>
      <c r="I336" s="66">
        <f t="shared" si="18"/>
        <v>4502.3716999999997</v>
      </c>
      <c r="J336" s="313">
        <f t="shared" si="17"/>
        <v>4722.9879132999995</v>
      </c>
      <c r="K336" s="61"/>
      <c r="L336" s="61"/>
      <c r="M336" s="65"/>
      <c r="N336" s="61"/>
      <c r="O336" s="61"/>
    </row>
    <row r="337" spans="1:15" ht="15" thickBot="1">
      <c r="A337" s="61">
        <v>44</v>
      </c>
      <c r="B337" s="61" t="s">
        <v>127</v>
      </c>
      <c r="C337" s="112">
        <v>621</v>
      </c>
      <c r="D337" s="66">
        <f t="shared" si="20"/>
        <v>735.20190000000002</v>
      </c>
      <c r="E337" s="313">
        <f t="shared" si="21"/>
        <v>771.22679310000001</v>
      </c>
      <c r="F337" s="61">
        <v>103</v>
      </c>
      <c r="G337" s="61" t="s">
        <v>124</v>
      </c>
      <c r="H337" s="119">
        <v>4066</v>
      </c>
      <c r="I337" s="66">
        <f t="shared" si="18"/>
        <v>4813.7374</v>
      </c>
      <c r="J337" s="313">
        <f t="shared" si="17"/>
        <v>5049.6105325999997</v>
      </c>
      <c r="K337" s="61"/>
      <c r="L337" s="61"/>
      <c r="M337" s="65"/>
      <c r="N337" s="61"/>
      <c r="O337" s="61"/>
    </row>
    <row r="338" spans="1:15" ht="15" thickBot="1">
      <c r="A338" s="61">
        <v>45</v>
      </c>
      <c r="B338" s="118" t="s">
        <v>129</v>
      </c>
      <c r="C338" s="112" t="s">
        <v>32</v>
      </c>
      <c r="D338" s="66" t="s">
        <v>9</v>
      </c>
      <c r="E338" s="313"/>
      <c r="F338" s="61">
        <v>104</v>
      </c>
      <c r="G338" s="61" t="s">
        <v>126</v>
      </c>
      <c r="H338" s="119">
        <v>2110</v>
      </c>
      <c r="I338" s="66">
        <f t="shared" si="18"/>
        <v>2498.029</v>
      </c>
      <c r="J338" s="313">
        <f t="shared" si="17"/>
        <v>2620.432421</v>
      </c>
      <c r="K338" s="61"/>
      <c r="L338" s="61"/>
      <c r="M338" s="65"/>
      <c r="N338" s="61"/>
      <c r="O338" s="61"/>
    </row>
    <row r="339" spans="1:15" ht="15" thickBot="1">
      <c r="A339" s="61">
        <v>46</v>
      </c>
      <c r="B339" s="118" t="s">
        <v>131</v>
      </c>
      <c r="C339" s="112" t="s">
        <v>32</v>
      </c>
      <c r="D339" s="66" t="s">
        <v>9</v>
      </c>
      <c r="E339" s="313"/>
      <c r="F339" s="61">
        <v>105</v>
      </c>
      <c r="G339" s="61" t="s">
        <v>128</v>
      </c>
      <c r="H339" s="119">
        <v>5498</v>
      </c>
      <c r="I339" s="66">
        <f t="shared" si="18"/>
        <v>6509.0821999999998</v>
      </c>
      <c r="J339" s="313">
        <f t="shared" si="17"/>
        <v>6828.0272277999993</v>
      </c>
      <c r="K339" s="61"/>
      <c r="L339" s="61"/>
      <c r="M339" s="65"/>
      <c r="N339" s="61"/>
      <c r="O339" s="61"/>
    </row>
    <row r="340" spans="1:15" ht="15" thickBot="1">
      <c r="A340" s="61">
        <v>47</v>
      </c>
      <c r="B340" s="118" t="s">
        <v>133</v>
      </c>
      <c r="C340" s="112" t="s">
        <v>32</v>
      </c>
      <c r="D340" s="66" t="s">
        <v>9</v>
      </c>
      <c r="E340" s="313"/>
      <c r="F340" s="61">
        <v>106</v>
      </c>
      <c r="G340" s="118" t="s">
        <v>130</v>
      </c>
      <c r="H340" s="119" t="s">
        <v>32</v>
      </c>
      <c r="I340" s="66"/>
      <c r="J340" s="313"/>
      <c r="K340" s="61"/>
      <c r="L340" s="61"/>
      <c r="M340" s="65"/>
      <c r="N340" s="61"/>
      <c r="O340" s="61"/>
    </row>
    <row r="341" spans="1:15" ht="15" thickBot="1">
      <c r="A341" s="61">
        <v>48</v>
      </c>
      <c r="B341" s="118" t="s">
        <v>135</v>
      </c>
      <c r="C341" s="112" t="s">
        <v>32</v>
      </c>
      <c r="D341" s="66" t="s">
        <v>9</v>
      </c>
      <c r="E341" s="313"/>
      <c r="F341" s="61">
        <v>107</v>
      </c>
      <c r="G341" s="118" t="s">
        <v>134</v>
      </c>
      <c r="H341" s="119" t="s">
        <v>32</v>
      </c>
      <c r="I341" s="66"/>
      <c r="J341" s="313"/>
      <c r="K341" s="61"/>
      <c r="L341" s="61"/>
      <c r="M341" s="65"/>
      <c r="N341" s="61"/>
      <c r="O341" s="61"/>
    </row>
    <row r="342" spans="1:15" ht="15" thickBot="1">
      <c r="A342" s="61">
        <v>49</v>
      </c>
      <c r="B342" s="118" t="s">
        <v>137</v>
      </c>
      <c r="C342" s="112" t="s">
        <v>32</v>
      </c>
      <c r="D342" s="66" t="s">
        <v>9</v>
      </c>
      <c r="E342" s="313"/>
      <c r="F342" s="61">
        <v>108</v>
      </c>
      <c r="G342" s="118" t="s">
        <v>132</v>
      </c>
      <c r="H342" s="119">
        <v>5114</v>
      </c>
      <c r="I342" s="66">
        <f t="shared" si="18"/>
        <v>6054.4645999999993</v>
      </c>
      <c r="J342" s="313">
        <f t="shared" si="17"/>
        <v>6351.1333653999991</v>
      </c>
      <c r="K342" s="61"/>
      <c r="L342" s="61"/>
      <c r="M342" s="65"/>
      <c r="N342" s="61"/>
      <c r="O342" s="61"/>
    </row>
    <row r="343" spans="1:15" ht="15" thickBot="1">
      <c r="A343" s="61">
        <v>50</v>
      </c>
      <c r="B343" s="118" t="s">
        <v>139</v>
      </c>
      <c r="C343" s="112" t="s">
        <v>32</v>
      </c>
      <c r="D343" s="66" t="s">
        <v>9</v>
      </c>
      <c r="E343" s="313"/>
      <c r="F343" s="61">
        <v>109</v>
      </c>
      <c r="G343" s="118" t="s">
        <v>136</v>
      </c>
      <c r="H343" s="119">
        <v>1681</v>
      </c>
      <c r="I343" s="66">
        <f t="shared" si="18"/>
        <v>1990.1359</v>
      </c>
      <c r="J343" s="313">
        <f t="shared" si="17"/>
        <v>2087.6525591</v>
      </c>
      <c r="K343" s="61"/>
      <c r="L343" s="61"/>
      <c r="M343" s="65"/>
      <c r="N343" s="61"/>
      <c r="O343" s="61"/>
    </row>
    <row r="344" spans="1:15" ht="15" thickBot="1">
      <c r="A344" s="61">
        <v>51</v>
      </c>
      <c r="B344" s="118" t="s">
        <v>145</v>
      </c>
      <c r="C344" s="112" t="s">
        <v>32</v>
      </c>
      <c r="D344" s="66" t="s">
        <v>9</v>
      </c>
      <c r="E344" s="313"/>
      <c r="F344" s="61">
        <v>110</v>
      </c>
      <c r="G344" s="61" t="s">
        <v>138</v>
      </c>
      <c r="H344" s="119">
        <v>4514</v>
      </c>
      <c r="I344" s="66">
        <f t="shared" si="18"/>
        <v>5344.1246000000001</v>
      </c>
      <c r="J344" s="313">
        <f t="shared" si="17"/>
        <v>5605.9867053999997</v>
      </c>
      <c r="K344" s="61"/>
      <c r="L344" s="61"/>
      <c r="M344" s="65"/>
      <c r="N344" s="61"/>
      <c r="O344" s="61"/>
    </row>
    <row r="345" spans="1:15" ht="15" thickBot="1">
      <c r="A345" s="61">
        <v>52</v>
      </c>
      <c r="B345" s="118" t="s">
        <v>336</v>
      </c>
      <c r="C345" s="112" t="s">
        <v>32</v>
      </c>
      <c r="D345" s="66" t="s">
        <v>9</v>
      </c>
      <c r="E345" s="313"/>
      <c r="F345" s="61">
        <v>111</v>
      </c>
      <c r="G345" s="61" t="s">
        <v>140</v>
      </c>
      <c r="H345" s="119" t="s">
        <v>32</v>
      </c>
      <c r="I345" s="66"/>
      <c r="J345" s="313">
        <f t="shared" si="17"/>
        <v>0</v>
      </c>
      <c r="K345" s="61"/>
      <c r="L345" s="61"/>
      <c r="M345" s="65"/>
      <c r="N345" s="61"/>
      <c r="O345" s="61"/>
    </row>
    <row r="346" spans="1:15" ht="15" thickBot="1">
      <c r="A346" s="61">
        <v>53</v>
      </c>
      <c r="B346" s="118" t="s">
        <v>151</v>
      </c>
      <c r="C346" s="112" t="s">
        <v>32</v>
      </c>
      <c r="D346" s="66" t="s">
        <v>9</v>
      </c>
      <c r="E346" s="313"/>
      <c r="F346" s="61">
        <v>112</v>
      </c>
      <c r="G346" s="61" t="s">
        <v>142</v>
      </c>
      <c r="H346" s="119" t="s">
        <v>32</v>
      </c>
      <c r="I346" s="66"/>
      <c r="J346" s="313">
        <f t="shared" si="17"/>
        <v>0</v>
      </c>
      <c r="K346" s="61"/>
      <c r="L346" s="61"/>
      <c r="M346" s="65"/>
      <c r="N346" s="61"/>
      <c r="O346" s="61">
        <f>P346</f>
        <v>0</v>
      </c>
    </row>
    <row r="347" spans="1:15" ht="15" thickBot="1">
      <c r="A347" s="61">
        <v>54</v>
      </c>
      <c r="B347" s="118" t="s">
        <v>153</v>
      </c>
      <c r="C347" s="112" t="s">
        <v>32</v>
      </c>
      <c r="D347" s="66" t="s">
        <v>9</v>
      </c>
      <c r="E347" s="313"/>
      <c r="F347" s="61">
        <v>113</v>
      </c>
      <c r="G347" s="118" t="s">
        <v>144</v>
      </c>
      <c r="H347" s="119">
        <v>6224</v>
      </c>
      <c r="I347" s="66">
        <f t="shared" si="18"/>
        <v>7368.5936000000002</v>
      </c>
      <c r="J347" s="313">
        <f t="shared" si="17"/>
        <v>7729.6546863999993</v>
      </c>
      <c r="K347" s="61"/>
      <c r="L347" s="61"/>
      <c r="M347" s="65"/>
      <c r="N347" s="61"/>
      <c r="O347" s="61"/>
    </row>
    <row r="348" spans="1:15" ht="15" thickBot="1">
      <c r="A348" s="61">
        <v>55</v>
      </c>
      <c r="B348" s="118" t="s">
        <v>153</v>
      </c>
      <c r="C348" s="112" t="s">
        <v>32</v>
      </c>
      <c r="D348" s="66" t="s">
        <v>9</v>
      </c>
      <c r="E348" s="313"/>
      <c r="F348" s="61">
        <v>114</v>
      </c>
      <c r="G348" s="120" t="s">
        <v>146</v>
      </c>
      <c r="H348" s="119">
        <v>7596</v>
      </c>
      <c r="I348" s="66">
        <f t="shared" si="18"/>
        <v>8992.9043999999994</v>
      </c>
      <c r="J348" s="313">
        <f t="shared" si="17"/>
        <v>9433.5567155999979</v>
      </c>
      <c r="K348" s="61"/>
      <c r="L348" s="61"/>
      <c r="M348" s="65"/>
      <c r="N348" s="61"/>
      <c r="O348" s="61"/>
    </row>
    <row r="349" spans="1:15" ht="15" thickBot="1">
      <c r="A349" s="61">
        <v>56</v>
      </c>
      <c r="B349" s="118" t="s">
        <v>155</v>
      </c>
      <c r="C349" s="112" t="s">
        <v>32</v>
      </c>
      <c r="D349" s="66" t="s">
        <v>9</v>
      </c>
      <c r="E349" s="313"/>
      <c r="F349" s="61">
        <v>115</v>
      </c>
      <c r="G349" s="118" t="s">
        <v>338</v>
      </c>
      <c r="H349" s="119" t="s">
        <v>32</v>
      </c>
      <c r="I349" s="66"/>
      <c r="J349" s="313">
        <f t="shared" si="17"/>
        <v>0</v>
      </c>
      <c r="K349" s="61"/>
      <c r="L349" s="61"/>
      <c r="M349" s="65"/>
      <c r="N349" s="61"/>
      <c r="O349" s="61"/>
    </row>
    <row r="350" spans="1:15" ht="15" thickBot="1">
      <c r="A350" s="61">
        <v>57</v>
      </c>
      <c r="B350" s="118" t="s">
        <v>339</v>
      </c>
      <c r="C350" s="112" t="s">
        <v>32</v>
      </c>
      <c r="D350" s="66" t="s">
        <v>9</v>
      </c>
      <c r="E350" s="313"/>
      <c r="F350" s="61">
        <v>116</v>
      </c>
      <c r="G350" s="61" t="s">
        <v>150</v>
      </c>
      <c r="H350" s="119">
        <v>4450</v>
      </c>
      <c r="I350" s="66">
        <f t="shared" si="18"/>
        <v>5268.3549999999996</v>
      </c>
      <c r="J350" s="313">
        <f t="shared" si="17"/>
        <v>5526.504394999999</v>
      </c>
      <c r="K350" s="61" t="s">
        <v>739</v>
      </c>
      <c r="L350" s="61"/>
      <c r="M350" s="65"/>
      <c r="N350" s="61"/>
      <c r="O350" s="61"/>
    </row>
    <row r="351" spans="1:15" ht="15" thickBot="1">
      <c r="A351" s="61">
        <v>58</v>
      </c>
      <c r="B351" s="118" t="s">
        <v>340</v>
      </c>
      <c r="C351" s="112" t="s">
        <v>32</v>
      </c>
      <c r="D351" s="66" t="s">
        <v>9</v>
      </c>
      <c r="E351" s="313"/>
      <c r="F351" s="61">
        <v>117</v>
      </c>
      <c r="G351" s="61" t="s">
        <v>152</v>
      </c>
      <c r="H351" s="119">
        <v>4350</v>
      </c>
      <c r="I351" s="66">
        <f t="shared" si="18"/>
        <v>5149.9650000000001</v>
      </c>
      <c r="J351" s="313">
        <f t="shared" si="17"/>
        <v>5402.3132850000002</v>
      </c>
      <c r="K351" s="61"/>
      <c r="L351" s="61"/>
      <c r="M351" s="65"/>
      <c r="N351" s="61"/>
      <c r="O351" s="61"/>
    </row>
    <row r="352" spans="1:15" ht="15" thickBot="1">
      <c r="A352" s="61">
        <v>59</v>
      </c>
      <c r="B352" s="118" t="s">
        <v>341</v>
      </c>
      <c r="C352" s="119" t="s">
        <v>32</v>
      </c>
      <c r="D352" s="66" t="s">
        <v>9</v>
      </c>
      <c r="E352" s="313"/>
      <c r="F352" s="61">
        <v>118</v>
      </c>
      <c r="G352" s="61" t="s">
        <v>154</v>
      </c>
      <c r="H352" s="119">
        <v>4600</v>
      </c>
      <c r="I352" s="66">
        <f t="shared" si="18"/>
        <v>5445.94</v>
      </c>
      <c r="J352" s="313">
        <f t="shared" si="17"/>
        <v>5712.7910599999996</v>
      </c>
      <c r="K352" s="61"/>
      <c r="L352" s="61"/>
      <c r="M352" s="65"/>
      <c r="N352" s="61"/>
      <c r="O352" s="61"/>
    </row>
    <row r="353" spans="1:15" ht="15" thickBot="1">
      <c r="A353" s="61"/>
      <c r="B353" s="118"/>
      <c r="C353" s="65"/>
      <c r="D353" s="65"/>
      <c r="F353" s="61">
        <v>119</v>
      </c>
      <c r="G353" s="61" t="s">
        <v>156</v>
      </c>
      <c r="H353" s="119">
        <v>4900</v>
      </c>
      <c r="I353" s="66">
        <f t="shared" si="18"/>
        <v>5801.11</v>
      </c>
      <c r="J353" s="313">
        <f t="shared" si="17"/>
        <v>6085.3643899999988</v>
      </c>
      <c r="K353" s="61"/>
      <c r="L353" s="61"/>
      <c r="M353" s="65"/>
      <c r="N353" s="61"/>
      <c r="O353" s="61"/>
    </row>
    <row r="354" spans="1:15" ht="15" thickBot="1">
      <c r="A354" s="61"/>
      <c r="B354" s="118"/>
      <c r="C354" s="65"/>
      <c r="D354" s="65"/>
      <c r="F354" s="61">
        <v>120</v>
      </c>
      <c r="G354" s="61" t="s">
        <v>157</v>
      </c>
      <c r="H354" s="119">
        <v>5200</v>
      </c>
      <c r="I354" s="66">
        <f t="shared" si="18"/>
        <v>6156.28</v>
      </c>
      <c r="J354" s="313">
        <f t="shared" si="17"/>
        <v>6457.937719999999</v>
      </c>
      <c r="K354" s="61"/>
      <c r="L354" s="61"/>
      <c r="M354" s="65"/>
      <c r="N354" s="61"/>
      <c r="O354" s="61"/>
    </row>
    <row r="355" spans="1:15" ht="15" thickBot="1">
      <c r="A355" s="61"/>
      <c r="B355" s="118"/>
      <c r="C355" s="65"/>
      <c r="D355" s="65"/>
      <c r="F355" s="61">
        <v>121</v>
      </c>
      <c r="G355" s="61" t="s">
        <v>158</v>
      </c>
      <c r="H355" s="119">
        <v>1688</v>
      </c>
      <c r="I355" s="66">
        <f t="shared" si="18"/>
        <v>1998.4232</v>
      </c>
      <c r="J355" s="313">
        <f t="shared" si="17"/>
        <v>2096.3459367999999</v>
      </c>
      <c r="K355" s="61"/>
      <c r="L355" s="61"/>
      <c r="M355" s="65"/>
      <c r="N355" s="61"/>
      <c r="O355" s="61"/>
    </row>
    <row r="356" spans="1:15" ht="15" thickBot="1">
      <c r="A356" s="61"/>
      <c r="B356" s="118"/>
      <c r="C356" s="65"/>
      <c r="D356" s="65"/>
      <c r="F356" s="61">
        <v>122</v>
      </c>
      <c r="G356" s="61" t="s">
        <v>160</v>
      </c>
      <c r="H356" s="119">
        <v>1860</v>
      </c>
      <c r="I356" s="66">
        <f t="shared" si="18"/>
        <v>2202.0540000000001</v>
      </c>
      <c r="J356" s="313">
        <f t="shared" si="17"/>
        <v>2309.9546460000001</v>
      </c>
      <c r="K356" s="61"/>
      <c r="L356" s="61"/>
      <c r="M356" s="65"/>
      <c r="N356" s="61"/>
      <c r="O356" s="61"/>
    </row>
    <row r="357" spans="1:15" ht="15" thickBot="1">
      <c r="A357" s="61"/>
      <c r="B357" s="118"/>
      <c r="C357" s="65"/>
      <c r="D357" s="65"/>
      <c r="F357" s="61">
        <v>123</v>
      </c>
      <c r="G357" s="61" t="s">
        <v>161</v>
      </c>
      <c r="H357" s="119">
        <v>1998</v>
      </c>
      <c r="I357" s="66">
        <f t="shared" si="18"/>
        <v>2365.4321999999997</v>
      </c>
      <c r="J357" s="313">
        <f t="shared" si="17"/>
        <v>2481.3383777999998</v>
      </c>
      <c r="K357" s="61"/>
      <c r="L357" s="61"/>
      <c r="M357" s="65"/>
      <c r="N357" s="61"/>
      <c r="O357" s="61"/>
    </row>
    <row r="358" spans="1:15" ht="15" thickBot="1">
      <c r="A358" s="61"/>
      <c r="B358" s="118"/>
      <c r="C358" s="65"/>
      <c r="D358" s="65"/>
      <c r="F358" s="61">
        <v>124</v>
      </c>
      <c r="G358" s="61" t="s">
        <v>162</v>
      </c>
      <c r="H358" s="119">
        <v>2131</v>
      </c>
      <c r="I358" s="66">
        <f t="shared" si="18"/>
        <v>2522.8908999999999</v>
      </c>
      <c r="J358" s="313">
        <f t="shared" ref="J358:J363" si="22">I358*1.049</f>
        <v>2646.5125540999998</v>
      </c>
      <c r="K358" s="61"/>
      <c r="L358" s="61"/>
      <c r="M358" s="65"/>
      <c r="N358" s="61"/>
      <c r="O358" s="61"/>
    </row>
    <row r="359" spans="1:15" ht="15" thickBot="1">
      <c r="A359" s="61"/>
      <c r="B359" s="118"/>
      <c r="C359" s="65"/>
      <c r="D359" s="65"/>
      <c r="F359" s="61">
        <v>125</v>
      </c>
      <c r="G359" s="61" t="s">
        <v>342</v>
      </c>
      <c r="H359" s="119" t="s">
        <v>32</v>
      </c>
      <c r="I359" s="66" t="s">
        <v>9</v>
      </c>
      <c r="J359" s="313"/>
      <c r="K359" s="61"/>
      <c r="L359" s="61"/>
      <c r="M359" s="65"/>
      <c r="N359" s="61"/>
      <c r="O359" s="61"/>
    </row>
    <row r="360" spans="1:15" ht="15" thickBot="1">
      <c r="A360" s="61"/>
      <c r="B360" s="118"/>
      <c r="C360" s="65"/>
      <c r="D360" s="65"/>
      <c r="F360" s="61">
        <v>126</v>
      </c>
      <c r="G360" s="61" t="s">
        <v>222</v>
      </c>
      <c r="H360" s="119">
        <v>98</v>
      </c>
      <c r="I360" s="66">
        <f t="shared" si="18"/>
        <v>116.0222</v>
      </c>
      <c r="J360" s="313">
        <f t="shared" si="22"/>
        <v>121.70728779999999</v>
      </c>
      <c r="K360" s="61"/>
      <c r="L360" s="61"/>
      <c r="M360" s="65"/>
      <c r="N360" s="61"/>
      <c r="O360" s="61"/>
    </row>
    <row r="361" spans="1:15" ht="15" thickBot="1">
      <c r="A361" s="61"/>
      <c r="B361" s="118"/>
      <c r="C361" s="65"/>
      <c r="D361" s="65"/>
      <c r="F361" s="61">
        <v>127</v>
      </c>
      <c r="G361" s="61" t="s">
        <v>166</v>
      </c>
      <c r="H361" s="119" t="s">
        <v>32</v>
      </c>
      <c r="I361" s="66" t="s">
        <v>9</v>
      </c>
      <c r="J361" s="313"/>
      <c r="K361" s="61"/>
      <c r="L361" s="61"/>
      <c r="M361" s="65"/>
      <c r="N361" s="61"/>
      <c r="O361" s="61"/>
    </row>
    <row r="362" spans="1:15" ht="15" thickBot="1">
      <c r="A362" s="61"/>
      <c r="B362" s="118"/>
      <c r="C362" s="65"/>
      <c r="D362" s="65"/>
      <c r="F362" s="61">
        <v>128</v>
      </c>
      <c r="G362" s="61" t="s">
        <v>167</v>
      </c>
      <c r="H362" s="119">
        <v>4299</v>
      </c>
      <c r="I362" s="66">
        <f t="shared" si="18"/>
        <v>5089.5860999999995</v>
      </c>
      <c r="J362" s="313">
        <f t="shared" si="22"/>
        <v>5338.9758188999995</v>
      </c>
      <c r="K362" s="61"/>
      <c r="L362" s="61"/>
      <c r="M362" s="65"/>
      <c r="N362" s="61"/>
      <c r="O362" s="61"/>
    </row>
    <row r="363" spans="1:15" ht="15" thickBot="1">
      <c r="A363" s="61"/>
      <c r="B363" s="118"/>
      <c r="C363" s="65"/>
      <c r="D363" s="65"/>
      <c r="F363" s="61">
        <v>129</v>
      </c>
      <c r="G363" s="61" t="s">
        <v>344</v>
      </c>
      <c r="H363" s="119">
        <v>51</v>
      </c>
      <c r="I363" s="66">
        <f t="shared" si="18"/>
        <v>60.378899999999994</v>
      </c>
      <c r="J363" s="313">
        <f t="shared" si="22"/>
        <v>63.337466099999993</v>
      </c>
      <c r="K363" s="61"/>
      <c r="L363" s="61"/>
      <c r="M363" s="65"/>
      <c r="N363" s="61"/>
      <c r="O363" s="61"/>
    </row>
    <row r="364" spans="1:15">
      <c r="B364" s="4"/>
    </row>
    <row r="365" spans="1:15">
      <c r="B365" s="4"/>
    </row>
    <row r="366" spans="1:15">
      <c r="B366" s="4"/>
    </row>
    <row r="367" spans="1:15">
      <c r="B367" s="4"/>
    </row>
    <row r="368" spans="1:15">
      <c r="B368" s="4"/>
    </row>
    <row r="369" spans="2:2">
      <c r="B369" s="4"/>
    </row>
  </sheetData>
  <sheetProtection algorithmName="SHA-512" hashValue="OGKNuwNM2fgeLf/5xgmObSMI8C7/oWtXpfoe7Kotyrrdi+noUH+2U9J8M3IOTEgdC4H250WGhIEaWd74s6napA==" saltValue="O7vVmIWOwtKRFgn1xkzT/A==" spinCount="100000" sheet="1" objects="1" scenarios="1"/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YR 1 PPI Calc</vt:lpstr>
      <vt:lpstr>YR 1 ZEB PPI Calc</vt:lpstr>
      <vt:lpstr>Delivery Zones</vt:lpstr>
      <vt:lpstr>Dealer Contacts</vt:lpstr>
      <vt:lpstr>A-B-C AZ Bus &amp; Davey Coach</vt:lpstr>
      <vt:lpstr>A-B-C Creative Bus</vt:lpstr>
      <vt:lpstr>D LF Minivan</vt:lpstr>
      <vt:lpstr>E Large Cutaways</vt:lpstr>
      <vt:lpstr>G Low Floor Cutaways</vt:lpstr>
      <vt:lpstr>M Med Duty Transit </vt:lpstr>
      <vt:lpstr>P ProMaster LF</vt:lpstr>
      <vt:lpstr>V Transit AZ-CBS</vt:lpstr>
      <vt:lpstr>V Transit Davey-MSV-RO</vt:lpstr>
      <vt:lpstr>Z-1 ZEB VAN</vt:lpstr>
      <vt:lpstr>Z-2 ZEB Cutaway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and Stacy Meer</dc:creator>
  <cp:lastModifiedBy>Joe and Stacy Meer</cp:lastModifiedBy>
  <dcterms:created xsi:type="dcterms:W3CDTF">2021-07-01T20:20:28Z</dcterms:created>
  <dcterms:modified xsi:type="dcterms:W3CDTF">2024-06-19T14:58:02Z</dcterms:modified>
</cp:coreProperties>
</file>